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105" windowWidth="11295" windowHeight="12135" activeTab="0"/>
  </bookViews>
  <sheets>
    <sheet name="вода -рус.яз." sheetId="1" r:id="rId1"/>
  </sheets>
  <definedNames>
    <definedName name="_xlnm.Print_Titles" localSheetId="0">'вода -рус.яз.'!$3:$4</definedName>
    <definedName name="_xlnm.Print_Area" localSheetId="0">'вода -рус.яз.'!$A$1:$F$73</definedName>
  </definedNames>
  <calcPr fullCalcOnLoad="1"/>
</workbook>
</file>

<file path=xl/comments1.xml><?xml version="1.0" encoding="utf-8"?>
<comments xmlns="http://schemas.openxmlformats.org/spreadsheetml/2006/main">
  <authors>
    <author>PEO2</author>
  </authors>
  <commentList>
    <comment ref="B72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чифра считается в обратном порядке от утвержденной в ТС</t>
        </r>
      </text>
    </comment>
  </commentList>
</comments>
</file>

<file path=xl/sharedStrings.xml><?xml version="1.0" encoding="utf-8"?>
<sst xmlns="http://schemas.openxmlformats.org/spreadsheetml/2006/main" count="182" uniqueCount="115">
  <si>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</si>
  <si>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</si>
  <si>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</si>
  <si>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</si>
  <si>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</si>
  <si>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</si>
  <si>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</si>
  <si>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</si>
  <si>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</si>
  <si>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</si>
  <si>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</si>
  <si>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</si>
  <si>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</si>
  <si>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</si>
  <si>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</si>
  <si>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</si>
  <si>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</si>
  <si>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</si>
  <si>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</si>
  <si>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</si>
  <si>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</si>
  <si>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</si>
  <si>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</si>
  <si>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</si>
  <si>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>3.1.</t>
  </si>
  <si>
    <t>3.2.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</si>
  <si>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</si>
  <si>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</si>
  <si>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</si>
  <si>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</si>
  <si>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</si>
  <si>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</si>
  <si>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</si>
  <si>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</si>
  <si>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</si>
  <si>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</si>
  <si>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</si>
  <si>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</si>
  <si>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</si>
  <si>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</si>
  <si>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</si>
  <si>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</si>
  <si>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>7.4.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</si>
  <si>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</si>
  <si>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</si>
  <si>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</si>
  <si>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</si>
  <si>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</si>
  <si>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</si>
  <si>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</si>
  <si>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</si>
  <si>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</si>
  <si>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</si>
  <si>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</si>
  <si>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</si>
  <si>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</si>
  <si>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</si>
  <si>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</si>
  <si>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</si>
  <si>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</si>
  <si>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</si>
  <si>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</si>
  <si>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</si>
  <si>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</si>
  <si>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</si>
  <si>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</si>
  <si>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</si>
  <si>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</si>
  <si>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</si>
  <si>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</si>
  <si>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</si>
  <si>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</si>
  <si>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</si>
  <si>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</si>
  <si>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V.</t>
  </si>
  <si>
    <t>Всего доходов</t>
  </si>
  <si>
    <t>VI.</t>
  </si>
  <si>
    <t xml:space="preserve">Объемы оказываемых услуг </t>
  </si>
  <si>
    <t>тыс.м³</t>
  </si>
  <si>
    <t>VII.</t>
  </si>
  <si>
    <t>Нормативные технические потери</t>
  </si>
  <si>
    <t>%</t>
  </si>
  <si>
    <t xml:space="preserve">   -"- в натуральных показателях</t>
  </si>
  <si>
    <t>VIII.</t>
  </si>
  <si>
    <t xml:space="preserve"> Тариф</t>
  </si>
  <si>
    <t>тенге/м³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</si>
  <si>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</si>
  <si>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</si>
  <si>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</si>
  <si>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</si>
  <si>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</si>
  <si>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</si>
  <si>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</si>
  <si>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</si>
  <si>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</si>
  <si>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</si>
  <si>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>Материалы на содержание</t>
  </si>
  <si>
    <t>Амортизация, ВСЕГО:</t>
  </si>
  <si>
    <t>План на 1 полугодие 2023г.</t>
  </si>
  <si>
    <t>Факт за 1 полугодие 2023г.</t>
  </si>
  <si>
    <t>физические лица, организации, занимающиеся производством тепловой энергии, в пределах объемов потребления воды на собственные нужды в процессе производства тепловой энергии и объемов подпитки при предоставлении услуг горячего водоснабжения (при открытой системе горячего водоснабжения), организации, занимающиеся передачей и распределением тепловой энергии, в пределах объемов утвержденных нормативных технических потерь и организации, предоставляющие регулируемые услуги в сфере водоснабжения и (или) водоотведения</t>
  </si>
  <si>
    <t>организации, содержащиеся за счет бюджетных средств</t>
  </si>
  <si>
    <t xml:space="preserve">утвержден  с 1 августа 2022г. (пр.158-ОД от 25.07.2022г)                      </t>
  </si>
  <si>
    <t>3.3.</t>
  </si>
  <si>
    <t>на выполнение инвестиционной программы</t>
  </si>
  <si>
    <t>на возврат основного долга по кредиту ЕБРР</t>
  </si>
  <si>
    <t>на возврат основного долга по кредиту Нурлы Жол</t>
  </si>
  <si>
    <t>Вознаграждения по кредитам ЕБРР, Нурлы Жол</t>
  </si>
  <si>
    <t>сан очистка</t>
  </si>
  <si>
    <t xml:space="preserve"> прочие потребители- юридические лица, не входящие в состав первой и третьей групп</t>
  </si>
  <si>
    <t>прочие потребители- юридические лица, не входящие в состав первой и третьей групп</t>
  </si>
  <si>
    <t>Прибыль</t>
  </si>
  <si>
    <t>Сумма необоснованно полученного дохода, установленная по итогам анализа исполнения тарифной сметы и инвестиционной программы</t>
  </si>
  <si>
    <t>Всего доходов с учетом суммы необоснованно полученного дохода в том числе:</t>
  </si>
  <si>
    <t xml:space="preserve">  Информация о ходе исполнения тарифной сметы на услуги  водоснабжения, оказываемые ГКП на праве хозяйственного ведения "Өскемен Водоканал" акимата г.Усть-Каменогорск  за 1 полугодие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</si>
</sst>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172" fontId="21" fillId="0" borderId="0" xfId="0" applyNumberFormat="1" applyFont="1" applyFill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6" fontId="21" fillId="0" borderId="12" xfId="0" applyNumberFormat="1" applyFont="1" applyFill="1" applyBorder="1" applyAlignment="1">
      <alignment horizontal="center" vertical="center"/>
    </xf>
    <xf numFmtId="16" fontId="21" fillId="0" borderId="13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6" fontId="24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center" vertical="center"/>
    </xf>
    <xf numFmtId="173" fontId="23" fillId="0" borderId="15" xfId="55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" fontId="21" fillId="24" borderId="14" xfId="0" applyNumberFormat="1" applyFont="1" applyFill="1" applyBorder="1" applyAlignment="1">
      <alignment horizontal="center" vertical="center"/>
    </xf>
    <xf numFmtId="173" fontId="21" fillId="24" borderId="15" xfId="55" applyNumberFormat="1" applyFont="1" applyFill="1" applyBorder="1" applyAlignment="1">
      <alignment horizontal="center" vertical="center"/>
    </xf>
    <xf numFmtId="172" fontId="21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 wrapText="1"/>
    </xf>
    <xf numFmtId="173" fontId="21" fillId="0" borderId="15" xfId="55" applyNumberFormat="1" applyFont="1" applyFill="1" applyBorder="1" applyAlignment="1">
      <alignment horizontal="center" vertical="center" wrapText="1"/>
    </xf>
    <xf numFmtId="173" fontId="21" fillId="0" borderId="15" xfId="55" applyNumberFormat="1" applyFont="1" applyFill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73" fontId="21" fillId="24" borderId="15" xfId="55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vertical="center"/>
    </xf>
    <xf numFmtId="4" fontId="21" fillId="24" borderId="14" xfId="0" applyNumberFormat="1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2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72" fontId="21" fillId="0" borderId="0" xfId="0" applyNumberFormat="1" applyFon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172" fontId="23" fillId="0" borderId="14" xfId="0" applyNumberFormat="1" applyFont="1" applyFill="1" applyBorder="1" applyAlignment="1">
      <alignment horizontal="center" vertical="center"/>
    </xf>
    <xf numFmtId="173" fontId="23" fillId="0" borderId="14" xfId="55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2" fontId="25" fillId="0" borderId="14" xfId="0" applyNumberFormat="1" applyFont="1" applyFill="1" applyBorder="1" applyAlignment="1">
      <alignment horizontal="center" vertical="center"/>
    </xf>
    <xf numFmtId="173" fontId="21" fillId="0" borderId="14" xfId="55" applyNumberFormat="1" applyFont="1" applyFill="1" applyBorder="1" applyAlignment="1">
      <alignment horizontal="center" vertical="center"/>
    </xf>
    <xf numFmtId="16" fontId="21" fillId="0" borderId="14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172" fontId="29" fillId="0" borderId="14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1" fillId="24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4" fontId="21" fillId="0" borderId="20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174" fontId="21" fillId="24" borderId="20" xfId="0" applyNumberFormat="1" applyFont="1" applyFill="1" applyBorder="1" applyAlignment="1">
      <alignment horizontal="center" vertical="center"/>
    </xf>
    <xf numFmtId="174" fontId="21" fillId="24" borderId="21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 wrapText="1"/>
    </xf>
    <xf numFmtId="0" fontId="21" fillId="24" borderId="22" xfId="0" applyFont="1" applyFill="1" applyBorder="1" applyAlignment="1">
      <alignment vertical="center" wrapText="1"/>
    </xf>
    <xf numFmtId="0" fontId="21" fillId="24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2" fillId="24" borderId="22" xfId="0" applyFont="1" applyFill="1" applyBorder="1" applyAlignment="1">
      <alignment vertical="center" wrapText="1"/>
    </xf>
    <xf numFmtId="0" fontId="22" fillId="24" borderId="22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173" fontId="23" fillId="0" borderId="15" xfId="55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/>
    </xf>
    <xf numFmtId="0" fontId="23" fillId="24" borderId="22" xfId="0" applyFont="1" applyFill="1" applyBorder="1" applyAlignment="1">
      <alignment vertical="center" wrapText="1"/>
    </xf>
    <xf numFmtId="0" fontId="23" fillId="24" borderId="14" xfId="0" applyFont="1" applyFill="1" applyBorder="1" applyAlignment="1">
      <alignment horizontal="center" vertical="center"/>
    </xf>
    <xf numFmtId="4" fontId="23" fillId="24" borderId="14" xfId="0" applyNumberFormat="1" applyFont="1" applyFill="1" applyBorder="1" applyAlignment="1">
      <alignment horizontal="center" vertical="center"/>
    </xf>
    <xf numFmtId="173" fontId="23" fillId="24" borderId="15" xfId="55" applyNumberFormat="1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/>
    </xf>
    <xf numFmtId="14" fontId="22" fillId="0" borderId="20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173" fontId="22" fillId="0" borderId="15" xfId="55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72" fontId="21" fillId="0" borderId="0" xfId="0" applyNumberFormat="1" applyFont="1" applyFill="1" applyBorder="1" applyAlignment="1">
      <alignment vertical="center"/>
    </xf>
    <xf numFmtId="17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vertical="center" wrapText="1"/>
    </xf>
    <xf numFmtId="4" fontId="21" fillId="0" borderId="23" xfId="0" applyNumberFormat="1" applyFont="1" applyFill="1" applyBorder="1" applyAlignment="1">
      <alignment horizontal="center" vertical="top" wrapText="1"/>
    </xf>
    <xf numFmtId="4" fontId="21" fillId="0" borderId="15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vertical="center"/>
    </xf>
    <xf numFmtId="173" fontId="21" fillId="0" borderId="0" xfId="55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E50" sqref="E50"/>
    </sheetView>
  </sheetViews>
  <sheetFormatPr defaultColWidth="9.00390625" defaultRowHeight="21" customHeight="1"/>
  <cols>
    <col min="1" max="1" width="4.625" style="41" customWidth="1"/>
    <col min="2" max="2" width="45.125" style="1" customWidth="1"/>
    <col min="3" max="3" width="10.00390625" style="41" customWidth="1"/>
    <col min="4" max="5" width="12.00390625" style="1" customWidth="1"/>
    <col min="6" max="6" width="7.25390625" style="1" customWidth="1"/>
    <col min="7" max="7" width="11.375" style="1" customWidth="1"/>
    <col min="8" max="8" width="10.625" style="3" customWidth="1"/>
    <col min="9" max="9" width="9.125" style="3" customWidth="1"/>
    <col min="10" max="10" width="5.375" style="3" customWidth="1"/>
    <col min="11" max="11" width="10.75390625" style="3" bestFit="1" customWidth="1"/>
    <col min="12" max="16384" width="9.125" style="1" customWidth="1"/>
  </cols>
  <sheetData>
    <row r="1" spans="1:6" ht="45.75" customHeight="1">
      <c r="A1" s="128" t="s">
        <v>114</v>
      </c>
      <c r="B1" s="128"/>
      <c r="C1" s="128"/>
      <c r="D1" s="128"/>
      <c r="E1" s="128"/>
      <c r="F1" s="128"/>
    </row>
    <row r="2" spans="1:6" ht="21" customHeight="1" thickBot="1">
      <c r="A2" s="2"/>
      <c r="B2" s="3"/>
      <c r="C2" s="2"/>
      <c r="D2" s="3"/>
      <c r="E2" s="3"/>
      <c r="F2" s="3"/>
    </row>
    <row r="3" spans="1:9" ht="16.5" customHeight="1">
      <c r="A3" s="129" t="s">
        <v>0</v>
      </c>
      <c r="B3" s="131" t="s">
        <v>1</v>
      </c>
      <c r="C3" s="133" t="s">
        <v>2</v>
      </c>
      <c r="D3" s="124" t="s">
        <v>98</v>
      </c>
      <c r="E3" s="124" t="s">
        <v>99</v>
      </c>
      <c r="F3" s="126" t="s">
        <v>3</v>
      </c>
      <c r="H3" s="123"/>
      <c r="I3" s="99"/>
    </row>
    <row r="4" spans="1:8" ht="23.25" customHeight="1" thickBot="1">
      <c r="A4" s="130"/>
      <c r="B4" s="132"/>
      <c r="C4" s="134"/>
      <c r="D4" s="125"/>
      <c r="E4" s="125"/>
      <c r="F4" s="127"/>
      <c r="H4" s="123"/>
    </row>
    <row r="5" spans="1:10" ht="30" customHeight="1">
      <c r="A5" s="4" t="s">
        <v>4</v>
      </c>
      <c r="B5" s="71" t="s">
        <v>5</v>
      </c>
      <c r="C5" s="43" t="s">
        <v>6</v>
      </c>
      <c r="D5" s="14">
        <f>D6+D11+D14+D18+D19+D20</f>
        <v>990701.155</v>
      </c>
      <c r="E5" s="14">
        <f>E6+E11+E14+E18+E19+E20</f>
        <v>1058220.49</v>
      </c>
      <c r="F5" s="15">
        <f>E5/D5</f>
        <v>1.068153079926509</v>
      </c>
      <c r="H5" s="40"/>
      <c r="J5" s="100"/>
    </row>
    <row r="6" spans="1:11" s="7" customFormat="1" ht="17.25" customHeight="1">
      <c r="A6" s="6" t="s">
        <v>7</v>
      </c>
      <c r="B6" s="72" t="s">
        <v>8</v>
      </c>
      <c r="C6" s="73" t="s">
        <v>6</v>
      </c>
      <c r="D6" s="14">
        <f>D7+D8+D9+D10</f>
        <v>273541.685</v>
      </c>
      <c r="E6" s="14">
        <f>SUM(E7:E9)+E10</f>
        <v>322688.47</v>
      </c>
      <c r="F6" s="15">
        <f aca="true" t="shared" si="0" ref="F6:F56">E6/D6</f>
        <v>1.1796683565797292</v>
      </c>
      <c r="H6" s="101"/>
      <c r="I6" s="3"/>
      <c r="J6" s="100"/>
      <c r="K6" s="102"/>
    </row>
    <row r="7" spans="1:10" ht="17.25" customHeight="1">
      <c r="A7" s="8" t="s">
        <v>9</v>
      </c>
      <c r="B7" s="74" t="s">
        <v>10</v>
      </c>
      <c r="C7" s="47" t="s">
        <v>6</v>
      </c>
      <c r="D7" s="22">
        <f>37810.61/2</f>
        <v>18905.305</v>
      </c>
      <c r="E7" s="22">
        <v>20933.8</v>
      </c>
      <c r="F7" s="25">
        <f>E7/D7</f>
        <v>1.1072976606301776</v>
      </c>
      <c r="H7" s="103"/>
      <c r="J7" s="100"/>
    </row>
    <row r="8" spans="1:10" ht="17.25" customHeight="1">
      <c r="A8" s="8" t="s">
        <v>11</v>
      </c>
      <c r="B8" s="74" t="s">
        <v>12</v>
      </c>
      <c r="C8" s="47" t="s">
        <v>6</v>
      </c>
      <c r="D8" s="22">
        <f>90894.55/2</f>
        <v>45447.275</v>
      </c>
      <c r="E8" s="22">
        <v>49542.71</v>
      </c>
      <c r="F8" s="25">
        <f t="shared" si="0"/>
        <v>1.0901139837316978</v>
      </c>
      <c r="H8" s="103"/>
      <c r="J8" s="100"/>
    </row>
    <row r="9" spans="1:10" ht="17.25" customHeight="1">
      <c r="A9" s="8" t="s">
        <v>13</v>
      </c>
      <c r="B9" s="74" t="s">
        <v>14</v>
      </c>
      <c r="C9" s="47" t="s">
        <v>6</v>
      </c>
      <c r="D9" s="22">
        <f>407014.68/2</f>
        <v>203507.34</v>
      </c>
      <c r="E9" s="22">
        <v>243135.73</v>
      </c>
      <c r="F9" s="25">
        <f t="shared" si="0"/>
        <v>1.1947270796227794</v>
      </c>
      <c r="H9" s="103"/>
      <c r="J9" s="100"/>
    </row>
    <row r="10" spans="1:10" ht="17.25" customHeight="1">
      <c r="A10" s="9" t="s">
        <v>15</v>
      </c>
      <c r="B10" s="74" t="s">
        <v>16</v>
      </c>
      <c r="C10" s="47" t="s">
        <v>6</v>
      </c>
      <c r="D10" s="22">
        <f>11363.53/2</f>
        <v>5681.765</v>
      </c>
      <c r="E10" s="22">
        <v>9076.23</v>
      </c>
      <c r="F10" s="25">
        <f t="shared" si="0"/>
        <v>1.597431431958203</v>
      </c>
      <c r="H10" s="103"/>
      <c r="J10" s="100"/>
    </row>
    <row r="11" spans="1:11" s="7" customFormat="1" ht="17.25" customHeight="1">
      <c r="A11" s="10" t="s">
        <v>17</v>
      </c>
      <c r="B11" s="75" t="s">
        <v>18</v>
      </c>
      <c r="C11" s="73" t="s">
        <v>6</v>
      </c>
      <c r="D11" s="14">
        <f>D12+D13</f>
        <v>380577.18</v>
      </c>
      <c r="E11" s="14">
        <f>E12+E13</f>
        <v>371601.82999999996</v>
      </c>
      <c r="F11" s="15">
        <f t="shared" si="0"/>
        <v>0.9764164787809925</v>
      </c>
      <c r="H11" s="101"/>
      <c r="I11" s="3"/>
      <c r="J11" s="100"/>
      <c r="K11" s="102"/>
    </row>
    <row r="12" spans="1:10" ht="17.25" customHeight="1">
      <c r="A12" s="8" t="s">
        <v>19</v>
      </c>
      <c r="B12" s="76" t="s">
        <v>20</v>
      </c>
      <c r="C12" s="59" t="s">
        <v>6</v>
      </c>
      <c r="D12" s="18">
        <f>687000.97/2</f>
        <v>343500.485</v>
      </c>
      <c r="E12" s="18">
        <v>334945.23</v>
      </c>
      <c r="F12" s="19">
        <f t="shared" si="0"/>
        <v>0.9750939070726494</v>
      </c>
      <c r="H12" s="103"/>
      <c r="J12" s="100"/>
    </row>
    <row r="13" spans="1:10" ht="17.25" customHeight="1">
      <c r="A13" s="9" t="s">
        <v>21</v>
      </c>
      <c r="B13" s="77" t="s">
        <v>22</v>
      </c>
      <c r="C13" s="59" t="s">
        <v>6</v>
      </c>
      <c r="D13" s="18">
        <f>74153.39/2</f>
        <v>37076.695</v>
      </c>
      <c r="E13" s="18">
        <v>36656.6</v>
      </c>
      <c r="F13" s="19">
        <f t="shared" si="0"/>
        <v>0.988669567230844</v>
      </c>
      <c r="H13" s="103"/>
      <c r="J13" s="100"/>
    </row>
    <row r="14" spans="1:11" s="7" customFormat="1" ht="17.25" customHeight="1">
      <c r="A14" s="11" t="s">
        <v>23</v>
      </c>
      <c r="B14" s="72" t="s">
        <v>97</v>
      </c>
      <c r="C14" s="73" t="s">
        <v>6</v>
      </c>
      <c r="D14" s="14">
        <f>D15+D16+D17</f>
        <v>223991.78</v>
      </c>
      <c r="E14" s="14">
        <f>E15+E16+E17</f>
        <v>198505.97999999998</v>
      </c>
      <c r="F14" s="15">
        <f>E14/D14</f>
        <v>0.8862199318207122</v>
      </c>
      <c r="H14" s="101"/>
      <c r="I14" s="3"/>
      <c r="J14" s="100"/>
      <c r="K14" s="102"/>
    </row>
    <row r="15" spans="1:11" s="7" customFormat="1" ht="17.25" customHeight="1">
      <c r="A15" s="12" t="s">
        <v>24</v>
      </c>
      <c r="B15" s="94" t="s">
        <v>104</v>
      </c>
      <c r="C15" s="47" t="s">
        <v>6</v>
      </c>
      <c r="D15" s="22">
        <f>163413-(D29+D30+D38+D39+758)</f>
        <v>151273.66</v>
      </c>
      <c r="E15" s="22">
        <f>144812.8-(E29+E30+E38+E39+709)</f>
        <v>136335.19999999998</v>
      </c>
      <c r="F15" s="25">
        <f>E15/D15</f>
        <v>0.9012487699444832</v>
      </c>
      <c r="H15" s="101"/>
      <c r="I15" s="3"/>
      <c r="J15" s="100"/>
      <c r="K15" s="102"/>
    </row>
    <row r="16" spans="1:10" ht="17.25" customHeight="1">
      <c r="A16" s="12" t="s">
        <v>25</v>
      </c>
      <c r="B16" s="74" t="s">
        <v>105</v>
      </c>
      <c r="C16" s="47" t="s">
        <v>6</v>
      </c>
      <c r="D16" s="22">
        <f>(124341.56)/2</f>
        <v>62170.78</v>
      </c>
      <c r="E16" s="22">
        <f>62170.78</f>
        <v>62170.78</v>
      </c>
      <c r="F16" s="25">
        <f>E16/D16</f>
        <v>1</v>
      </c>
      <c r="G16" s="29"/>
      <c r="H16" s="103"/>
      <c r="I16" s="121"/>
      <c r="J16" s="100"/>
    </row>
    <row r="17" spans="1:10" ht="17.25" customHeight="1">
      <c r="A17" s="12" t="s">
        <v>103</v>
      </c>
      <c r="B17" s="74" t="s">
        <v>106</v>
      </c>
      <c r="C17" s="47" t="s">
        <v>6</v>
      </c>
      <c r="D17" s="22">
        <f>21094.68/2</f>
        <v>10547.34</v>
      </c>
      <c r="E17" s="22">
        <v>0</v>
      </c>
      <c r="F17" s="25">
        <f>E17/D17</f>
        <v>0</v>
      </c>
      <c r="G17" s="29"/>
      <c r="H17" s="103"/>
      <c r="I17" s="121"/>
      <c r="J17" s="100"/>
    </row>
    <row r="18" spans="1:11" s="7" customFormat="1" ht="44.25" customHeight="1">
      <c r="A18" s="6" t="s">
        <v>26</v>
      </c>
      <c r="B18" s="75" t="s">
        <v>27</v>
      </c>
      <c r="C18" s="112" t="s">
        <v>6</v>
      </c>
      <c r="D18" s="14">
        <f>93561.12/2</f>
        <v>46780.56</v>
      </c>
      <c r="E18" s="14">
        <v>105197.89</v>
      </c>
      <c r="F18" s="15">
        <f t="shared" si="0"/>
        <v>2.2487522594855642</v>
      </c>
      <c r="G18" s="29"/>
      <c r="H18" s="29"/>
      <c r="I18" s="121"/>
      <c r="J18" s="100"/>
      <c r="K18" s="102"/>
    </row>
    <row r="19" spans="1:11" s="7" customFormat="1" ht="41.25" customHeight="1">
      <c r="A19" s="62" t="s">
        <v>28</v>
      </c>
      <c r="B19" s="75" t="s">
        <v>29</v>
      </c>
      <c r="C19" s="73" t="s">
        <v>6</v>
      </c>
      <c r="D19" s="14">
        <f>23852.78/2</f>
        <v>11926.39</v>
      </c>
      <c r="E19" s="14">
        <v>12419.75</v>
      </c>
      <c r="F19" s="15">
        <f t="shared" si="0"/>
        <v>1.0413670859329605</v>
      </c>
      <c r="G19" s="29"/>
      <c r="H19" s="29"/>
      <c r="I19" s="121"/>
      <c r="J19" s="100"/>
      <c r="K19" s="102"/>
    </row>
    <row r="20" spans="1:11" s="7" customFormat="1" ht="15.75" customHeight="1" thickBot="1">
      <c r="A20" s="16" t="s">
        <v>30</v>
      </c>
      <c r="B20" s="72" t="s">
        <v>31</v>
      </c>
      <c r="C20" s="73" t="s">
        <v>6</v>
      </c>
      <c r="D20" s="14">
        <f>(229562.68-121795.56)/2</f>
        <v>53883.56</v>
      </c>
      <c r="E20" s="14">
        <f>111748.32-63941.75</f>
        <v>47806.57000000001</v>
      </c>
      <c r="F20" s="15">
        <f t="shared" si="0"/>
        <v>0.8872199609676867</v>
      </c>
      <c r="H20" s="101"/>
      <c r="I20" s="3"/>
      <c r="J20" s="100"/>
      <c r="K20" s="102"/>
    </row>
    <row r="21" spans="1:10" ht="15.75" customHeight="1" thickBot="1">
      <c r="A21" s="17" t="s">
        <v>32</v>
      </c>
      <c r="B21" s="78" t="s">
        <v>33</v>
      </c>
      <c r="C21" s="43" t="s">
        <v>6</v>
      </c>
      <c r="D21" s="14">
        <f>D22+D35</f>
        <v>242554.11000000002</v>
      </c>
      <c r="E21" s="14">
        <f>E22+E35</f>
        <v>242962.66</v>
      </c>
      <c r="F21" s="15">
        <f t="shared" si="0"/>
        <v>1.0016843664285877</v>
      </c>
      <c r="H21" s="40"/>
      <c r="J21" s="100"/>
    </row>
    <row r="22" spans="1:11" s="7" customFormat="1" ht="17.25" customHeight="1">
      <c r="A22" s="63" t="s">
        <v>34</v>
      </c>
      <c r="B22" s="75" t="s">
        <v>35</v>
      </c>
      <c r="C22" s="73" t="s">
        <v>6</v>
      </c>
      <c r="D22" s="14">
        <f>D23+SUM(D26:D34)</f>
        <v>197651.43000000002</v>
      </c>
      <c r="E22" s="14">
        <f>E23+SUM(E26:E34)</f>
        <v>193544.59</v>
      </c>
      <c r="F22" s="15">
        <f t="shared" si="0"/>
        <v>0.979221804770145</v>
      </c>
      <c r="H22" s="101"/>
      <c r="I22" s="3"/>
      <c r="J22" s="100"/>
      <c r="K22" s="102"/>
    </row>
    <row r="23" spans="1:11" s="7" customFormat="1" ht="21.75" customHeight="1">
      <c r="A23" s="64" t="s">
        <v>36</v>
      </c>
      <c r="B23" s="77" t="s">
        <v>37</v>
      </c>
      <c r="C23" s="59" t="s">
        <v>6</v>
      </c>
      <c r="D23" s="22">
        <f>D24+D25</f>
        <v>26079.53</v>
      </c>
      <c r="E23" s="18">
        <f>E24+E25</f>
        <v>31480.170000000002</v>
      </c>
      <c r="F23" s="19">
        <f t="shared" si="0"/>
        <v>1.2070834865505629</v>
      </c>
      <c r="H23" s="103"/>
      <c r="I23" s="3"/>
      <c r="J23" s="100"/>
      <c r="K23" s="102"/>
    </row>
    <row r="24" spans="1:11" s="21" customFormat="1" ht="17.25" customHeight="1">
      <c r="A24" s="65"/>
      <c r="B24" s="79" t="s">
        <v>38</v>
      </c>
      <c r="C24" s="60" t="s">
        <v>6</v>
      </c>
      <c r="D24" s="22">
        <f>46878.21/2</f>
        <v>23439.105</v>
      </c>
      <c r="E24" s="18">
        <v>28319.83</v>
      </c>
      <c r="F24" s="19">
        <f t="shared" si="0"/>
        <v>1.2082300070757823</v>
      </c>
      <c r="H24" s="104"/>
      <c r="I24" s="3"/>
      <c r="J24" s="100"/>
      <c r="K24" s="105"/>
    </row>
    <row r="25" spans="1:11" s="21" customFormat="1" ht="17.25" customHeight="1">
      <c r="A25" s="65"/>
      <c r="B25" s="80" t="s">
        <v>22</v>
      </c>
      <c r="C25" s="60" t="s">
        <v>6</v>
      </c>
      <c r="D25" s="22">
        <f>5280.85/2</f>
        <v>2640.425</v>
      </c>
      <c r="E25" s="18">
        <f>3160.34</f>
        <v>3160.34</v>
      </c>
      <c r="F25" s="19">
        <f t="shared" si="0"/>
        <v>1.1969058011494362</v>
      </c>
      <c r="H25" s="104"/>
      <c r="I25" s="3"/>
      <c r="J25" s="100"/>
      <c r="K25" s="105"/>
    </row>
    <row r="26" spans="1:10" ht="19.5" customHeight="1">
      <c r="A26" s="66" t="s">
        <v>39</v>
      </c>
      <c r="B26" s="74" t="s">
        <v>40</v>
      </c>
      <c r="C26" s="47" t="s">
        <v>6</v>
      </c>
      <c r="D26" s="22">
        <f>(48960.31+121795.56)/2</f>
        <v>85377.935</v>
      </c>
      <c r="E26" s="22">
        <f>24876.78+63941.75</f>
        <v>88818.53</v>
      </c>
      <c r="F26" s="25">
        <f t="shared" si="0"/>
        <v>1.0402984096535013</v>
      </c>
      <c r="H26" s="103"/>
      <c r="J26" s="100"/>
    </row>
    <row r="27" spans="1:10" ht="19.5" customHeight="1">
      <c r="A27" s="67" t="s">
        <v>41</v>
      </c>
      <c r="B27" s="81" t="s">
        <v>108</v>
      </c>
      <c r="C27" s="47" t="s">
        <v>6</v>
      </c>
      <c r="D27" s="22">
        <f>274.41/2</f>
        <v>137.205</v>
      </c>
      <c r="E27" s="23">
        <v>69.03</v>
      </c>
      <c r="F27" s="24">
        <f t="shared" si="0"/>
        <v>0.5031157756641521</v>
      </c>
      <c r="G27" s="29"/>
      <c r="H27" s="106"/>
      <c r="I27" s="121"/>
      <c r="J27" s="100"/>
    </row>
    <row r="28" spans="1:11" s="21" customFormat="1" ht="19.5" customHeight="1">
      <c r="A28" s="95" t="s">
        <v>42</v>
      </c>
      <c r="B28" s="90" t="s">
        <v>107</v>
      </c>
      <c r="C28" s="48" t="s">
        <v>6</v>
      </c>
      <c r="D28" s="96">
        <f>(131772.05+428.42)/2</f>
        <v>66100.235</v>
      </c>
      <c r="E28" s="96">
        <v>55593.65</v>
      </c>
      <c r="F28" s="97">
        <f t="shared" si="0"/>
        <v>0.8410507163855016</v>
      </c>
      <c r="H28" s="107"/>
      <c r="I28" s="105"/>
      <c r="J28" s="108"/>
      <c r="K28" s="105"/>
    </row>
    <row r="29" spans="1:10" ht="19.5" customHeight="1">
      <c r="A29" s="68" t="s">
        <v>43</v>
      </c>
      <c r="B29" s="74" t="s">
        <v>44</v>
      </c>
      <c r="C29" s="47" t="s">
        <v>6</v>
      </c>
      <c r="D29" s="22">
        <f>20502.61/2</f>
        <v>10251.305</v>
      </c>
      <c r="E29" s="22">
        <v>6221.35</v>
      </c>
      <c r="F29" s="25"/>
      <c r="H29" s="103"/>
      <c r="J29" s="100"/>
    </row>
    <row r="30" spans="1:10" ht="19.5" customHeight="1">
      <c r="A30" s="68" t="s">
        <v>45</v>
      </c>
      <c r="B30" s="74" t="s">
        <v>46</v>
      </c>
      <c r="C30" s="47" t="s">
        <v>6</v>
      </c>
      <c r="D30" s="22">
        <f>1018.96/2</f>
        <v>509.48</v>
      </c>
      <c r="E30" s="22">
        <v>314.55</v>
      </c>
      <c r="F30" s="25"/>
      <c r="H30" s="103"/>
      <c r="J30" s="100"/>
    </row>
    <row r="31" spans="1:10" ht="19.5" customHeight="1">
      <c r="A31" s="68" t="s">
        <v>47</v>
      </c>
      <c r="B31" s="74" t="s">
        <v>48</v>
      </c>
      <c r="C31" s="47" t="s">
        <v>6</v>
      </c>
      <c r="D31" s="22">
        <f>187/2</f>
        <v>93.5</v>
      </c>
      <c r="E31" s="22">
        <v>96.52</v>
      </c>
      <c r="F31" s="25">
        <f t="shared" si="0"/>
        <v>1.0322994652406416</v>
      </c>
      <c r="H31" s="103"/>
      <c r="J31" s="100"/>
    </row>
    <row r="32" spans="1:10" ht="19.5" customHeight="1">
      <c r="A32" s="68" t="s">
        <v>49</v>
      </c>
      <c r="B32" s="74" t="s">
        <v>50</v>
      </c>
      <c r="C32" s="47" t="s">
        <v>6</v>
      </c>
      <c r="D32" s="22">
        <f>769.49/2</f>
        <v>384.745</v>
      </c>
      <c r="E32" s="22">
        <v>505.64</v>
      </c>
      <c r="F32" s="25">
        <f t="shared" si="0"/>
        <v>1.314221107486777</v>
      </c>
      <c r="H32" s="103"/>
      <c r="J32" s="100"/>
    </row>
    <row r="33" spans="1:10" ht="19.5" customHeight="1">
      <c r="A33" s="68" t="s">
        <v>51</v>
      </c>
      <c r="B33" s="74" t="s">
        <v>96</v>
      </c>
      <c r="C33" s="47" t="s">
        <v>6</v>
      </c>
      <c r="D33" s="22">
        <f>1636.53/2</f>
        <v>818.265</v>
      </c>
      <c r="E33" s="22">
        <v>891.01</v>
      </c>
      <c r="F33" s="25">
        <f t="shared" si="0"/>
        <v>1.0889015172346368</v>
      </c>
      <c r="H33" s="103"/>
      <c r="J33" s="100"/>
    </row>
    <row r="34" spans="1:10" ht="19.5" customHeight="1" thickBot="1">
      <c r="A34" s="26" t="s">
        <v>52</v>
      </c>
      <c r="B34" s="77" t="s">
        <v>53</v>
      </c>
      <c r="C34" s="59" t="s">
        <v>6</v>
      </c>
      <c r="D34" s="22">
        <f>(147998.93-132200.47)/2</f>
        <v>7899.229999999996</v>
      </c>
      <c r="E34" s="30">
        <f>5714.53+3839.61</f>
        <v>9554.14</v>
      </c>
      <c r="F34" s="28">
        <f t="shared" si="0"/>
        <v>1.2095026983642716</v>
      </c>
      <c r="H34" s="106"/>
      <c r="J34" s="100"/>
    </row>
    <row r="35" spans="1:11" s="27" customFormat="1" ht="21.75" customHeight="1">
      <c r="A35" s="4">
        <v>8</v>
      </c>
      <c r="B35" s="71" t="s">
        <v>54</v>
      </c>
      <c r="C35" s="43" t="s">
        <v>6</v>
      </c>
      <c r="D35" s="82">
        <f>SUM(D36:D43)</f>
        <v>44902.67999999999</v>
      </c>
      <c r="E35" s="82">
        <f>SUM(E36:E43)</f>
        <v>49418.07</v>
      </c>
      <c r="F35" s="83">
        <f t="shared" si="0"/>
        <v>1.1005594766281213</v>
      </c>
      <c r="H35" s="109"/>
      <c r="I35" s="3"/>
      <c r="J35" s="100"/>
      <c r="K35" s="39"/>
    </row>
    <row r="36" spans="1:12" ht="20.25" customHeight="1">
      <c r="A36" s="69" t="s">
        <v>55</v>
      </c>
      <c r="B36" s="77" t="s">
        <v>56</v>
      </c>
      <c r="C36" s="59" t="s">
        <v>6</v>
      </c>
      <c r="D36" s="18">
        <f>57019.83/2</f>
        <v>28509.915</v>
      </c>
      <c r="E36" s="18">
        <v>30739.68</v>
      </c>
      <c r="F36" s="28">
        <f t="shared" si="0"/>
        <v>1.0782101595181885</v>
      </c>
      <c r="H36" s="103"/>
      <c r="J36" s="100"/>
      <c r="L36" s="29"/>
    </row>
    <row r="37" spans="1:10" ht="20.25" customHeight="1">
      <c r="A37" s="69" t="s">
        <v>57</v>
      </c>
      <c r="B37" s="77" t="s">
        <v>58</v>
      </c>
      <c r="C37" s="59" t="s">
        <v>6</v>
      </c>
      <c r="D37" s="18">
        <f>6423.29/2</f>
        <v>3211.645</v>
      </c>
      <c r="E37" s="18">
        <v>3454.59</v>
      </c>
      <c r="F37" s="19">
        <f t="shared" si="0"/>
        <v>1.0756450354880442</v>
      </c>
      <c r="H37" s="103"/>
      <c r="J37" s="100"/>
    </row>
    <row r="38" spans="1:10" ht="20.25" customHeight="1">
      <c r="A38" s="69" t="s">
        <v>59</v>
      </c>
      <c r="B38" s="84" t="s">
        <v>60</v>
      </c>
      <c r="C38" s="59" t="s">
        <v>6</v>
      </c>
      <c r="D38" s="18">
        <f>1221.01/2</f>
        <v>610.505</v>
      </c>
      <c r="E38" s="18">
        <v>1232.7</v>
      </c>
      <c r="F38" s="28"/>
      <c r="H38" s="103"/>
      <c r="J38" s="100"/>
    </row>
    <row r="39" spans="1:10" ht="20.25" customHeight="1">
      <c r="A39" s="69" t="s">
        <v>61</v>
      </c>
      <c r="B39" s="84" t="s">
        <v>62</v>
      </c>
      <c r="C39" s="59" t="s">
        <v>6</v>
      </c>
      <c r="D39" s="18">
        <f>20.1/2</f>
        <v>10.05</v>
      </c>
      <c r="E39" s="30">
        <v>0</v>
      </c>
      <c r="F39" s="28"/>
      <c r="H39" s="106"/>
      <c r="J39" s="100"/>
    </row>
    <row r="40" spans="1:10" ht="20.25" customHeight="1">
      <c r="A40" s="69" t="s">
        <v>63</v>
      </c>
      <c r="B40" s="77" t="s">
        <v>64</v>
      </c>
      <c r="C40" s="59" t="s">
        <v>6</v>
      </c>
      <c r="D40" s="18">
        <f>355.63/2</f>
        <v>177.815</v>
      </c>
      <c r="E40" s="18">
        <v>183.28</v>
      </c>
      <c r="F40" s="28">
        <f t="shared" si="0"/>
        <v>1.0307341900289626</v>
      </c>
      <c r="H40" s="103"/>
      <c r="J40" s="100"/>
    </row>
    <row r="41" spans="1:10" ht="20.25" customHeight="1">
      <c r="A41" s="69" t="s">
        <v>65</v>
      </c>
      <c r="B41" s="77" t="s">
        <v>66</v>
      </c>
      <c r="C41" s="59" t="s">
        <v>6</v>
      </c>
      <c r="D41" s="18">
        <f>518.62/2</f>
        <v>259.31</v>
      </c>
      <c r="E41" s="18">
        <v>338.25</v>
      </c>
      <c r="F41" s="28">
        <f t="shared" si="0"/>
        <v>1.3044232771586133</v>
      </c>
      <c r="H41" s="103"/>
      <c r="J41" s="100"/>
    </row>
    <row r="42" spans="1:10" ht="20.25" customHeight="1">
      <c r="A42" s="69" t="s">
        <v>67</v>
      </c>
      <c r="B42" s="77" t="s">
        <v>68</v>
      </c>
      <c r="C42" s="59" t="s">
        <v>6</v>
      </c>
      <c r="D42" s="18">
        <f>230.56/2</f>
        <v>115.28</v>
      </c>
      <c r="E42" s="18">
        <v>296.11</v>
      </c>
      <c r="F42" s="28">
        <f t="shared" si="0"/>
        <v>2.568615544760583</v>
      </c>
      <c r="H42" s="103"/>
      <c r="J42" s="100"/>
    </row>
    <row r="43" spans="1:10" ht="20.25" customHeight="1" thickBot="1">
      <c r="A43" s="70" t="s">
        <v>69</v>
      </c>
      <c r="B43" s="76" t="s">
        <v>70</v>
      </c>
      <c r="C43" s="59" t="s">
        <v>6</v>
      </c>
      <c r="D43" s="18">
        <f>24016.32/2</f>
        <v>12008.16</v>
      </c>
      <c r="E43" s="30">
        <v>13173.46</v>
      </c>
      <c r="F43" s="28">
        <f t="shared" si="0"/>
        <v>1.0970423445390467</v>
      </c>
      <c r="H43" s="106"/>
      <c r="J43" s="100"/>
    </row>
    <row r="44" spans="1:10" ht="18" customHeight="1" thickBot="1">
      <c r="A44" s="31" t="s">
        <v>71</v>
      </c>
      <c r="B44" s="85" t="s">
        <v>72</v>
      </c>
      <c r="C44" s="86" t="s">
        <v>6</v>
      </c>
      <c r="D44" s="87">
        <f>D5+D21</f>
        <v>1233255.2650000001</v>
      </c>
      <c r="E44" s="87">
        <f>E5+E21</f>
        <v>1301183.15</v>
      </c>
      <c r="F44" s="88">
        <f t="shared" si="0"/>
        <v>1.0550801500125764</v>
      </c>
      <c r="H44" s="40"/>
      <c r="J44" s="100"/>
    </row>
    <row r="45" spans="1:10" ht="18" customHeight="1" thickBot="1">
      <c r="A45" s="31" t="s">
        <v>73</v>
      </c>
      <c r="B45" s="85" t="s">
        <v>111</v>
      </c>
      <c r="C45" s="86"/>
      <c r="D45" s="87">
        <v>0</v>
      </c>
      <c r="E45" s="87"/>
      <c r="F45" s="88"/>
      <c r="H45" s="40"/>
      <c r="J45" s="100"/>
    </row>
    <row r="46" spans="1:10" ht="18" customHeight="1" thickBot="1">
      <c r="A46" s="117"/>
      <c r="B46" s="85" t="s">
        <v>104</v>
      </c>
      <c r="C46" s="86"/>
      <c r="D46" s="87">
        <v>0</v>
      </c>
      <c r="E46" s="87"/>
      <c r="F46" s="88"/>
      <c r="H46" s="40"/>
      <c r="J46" s="100"/>
    </row>
    <row r="47" spans="1:11" s="27" customFormat="1" ht="18" customHeight="1" thickBot="1">
      <c r="A47" s="31" t="s">
        <v>74</v>
      </c>
      <c r="B47" s="89" t="s">
        <v>75</v>
      </c>
      <c r="C47" s="86" t="s">
        <v>6</v>
      </c>
      <c r="D47" s="87">
        <f>(D44-D48)</f>
        <v>1232820.2650000001</v>
      </c>
      <c r="E47" s="87">
        <v>1267560.1</v>
      </c>
      <c r="F47" s="88">
        <f>E47/D47</f>
        <v>1.0281791563509057</v>
      </c>
      <c r="H47" s="40"/>
      <c r="I47" s="3"/>
      <c r="J47" s="100"/>
      <c r="K47" s="39"/>
    </row>
    <row r="48" spans="1:11" ht="42" customHeight="1" thickBot="1">
      <c r="A48" s="117"/>
      <c r="B48" s="118" t="s">
        <v>112</v>
      </c>
      <c r="C48" s="86" t="s">
        <v>6</v>
      </c>
      <c r="D48" s="43">
        <f>ROUND(869.58/2,2)+0.21</f>
        <v>435</v>
      </c>
      <c r="E48" s="13"/>
      <c r="F48" s="122"/>
      <c r="H48" s="40"/>
      <c r="J48" s="100"/>
      <c r="K48" s="110"/>
    </row>
    <row r="49" spans="1:11" ht="27.75" customHeight="1" thickBot="1">
      <c r="A49" s="32"/>
      <c r="B49" s="71" t="s">
        <v>113</v>
      </c>
      <c r="C49" s="119"/>
      <c r="D49" s="14">
        <f>D44-D48</f>
        <v>1232820.2650000001</v>
      </c>
      <c r="E49" s="13"/>
      <c r="F49" s="122"/>
      <c r="H49" s="40"/>
      <c r="J49" s="100"/>
      <c r="K49" s="110"/>
    </row>
    <row r="50" spans="1:11" s="27" customFormat="1" ht="17.25" customHeight="1">
      <c r="A50" s="32" t="s">
        <v>76</v>
      </c>
      <c r="B50" s="120" t="s">
        <v>77</v>
      </c>
      <c r="C50" s="86" t="s">
        <v>78</v>
      </c>
      <c r="D50" s="87">
        <f>SUM(D51:D53)</f>
        <v>12731.075</v>
      </c>
      <c r="E50" s="87">
        <f>SUM(E51:E53)</f>
        <v>12440.130000000001</v>
      </c>
      <c r="F50" s="88">
        <f t="shared" si="0"/>
        <v>0.977146863088938</v>
      </c>
      <c r="H50" s="40"/>
      <c r="I50" s="3"/>
      <c r="J50" s="100"/>
      <c r="K50" s="39"/>
    </row>
    <row r="51" spans="1:11" s="27" customFormat="1" ht="141.75" customHeight="1">
      <c r="A51" s="33"/>
      <c r="B51" s="81" t="s">
        <v>100</v>
      </c>
      <c r="C51" s="59" t="s">
        <v>78</v>
      </c>
      <c r="D51" s="18">
        <f>20315.21/2</f>
        <v>10157.605</v>
      </c>
      <c r="E51" s="18">
        <f>7216.95+2754.16</f>
        <v>9971.11</v>
      </c>
      <c r="F51" s="19">
        <f>E51/D51</f>
        <v>0.9816398649091003</v>
      </c>
      <c r="G51" s="98"/>
      <c r="H51" s="103"/>
      <c r="I51" s="3"/>
      <c r="J51" s="100"/>
      <c r="K51" s="39"/>
    </row>
    <row r="52" spans="1:11" s="27" customFormat="1" ht="27.75" customHeight="1">
      <c r="A52" s="33"/>
      <c r="B52" s="76" t="s">
        <v>101</v>
      </c>
      <c r="C52" s="59" t="s">
        <v>78</v>
      </c>
      <c r="D52" s="18">
        <f>789.06/2</f>
        <v>394.53</v>
      </c>
      <c r="E52" s="18">
        <f>414.18</f>
        <v>414.18</v>
      </c>
      <c r="F52" s="19">
        <f>E52/D52</f>
        <v>1.0498060983955593</v>
      </c>
      <c r="H52" s="103"/>
      <c r="I52" s="3"/>
      <c r="J52" s="100"/>
      <c r="K52" s="39"/>
    </row>
    <row r="53" spans="1:11" s="27" customFormat="1" ht="27.75" customHeight="1" thickBot="1">
      <c r="A53" s="33"/>
      <c r="B53" s="81" t="s">
        <v>110</v>
      </c>
      <c r="C53" s="59" t="s">
        <v>78</v>
      </c>
      <c r="D53" s="18">
        <f>4357.88/2</f>
        <v>2178.94</v>
      </c>
      <c r="E53" s="18">
        <f>2054.84</f>
        <v>2054.84</v>
      </c>
      <c r="F53" s="19">
        <f>E53/D53</f>
        <v>0.9430457011207285</v>
      </c>
      <c r="H53" s="103"/>
      <c r="I53" s="3"/>
      <c r="J53" s="100"/>
      <c r="K53" s="39"/>
    </row>
    <row r="54" spans="1:11" s="27" customFormat="1" ht="15" customHeight="1">
      <c r="A54" s="4" t="s">
        <v>79</v>
      </c>
      <c r="B54" s="78" t="s">
        <v>80</v>
      </c>
      <c r="C54" s="43" t="s">
        <v>81</v>
      </c>
      <c r="D54" s="14">
        <f>6439.61/2</f>
        <v>3219.805</v>
      </c>
      <c r="E54" s="14"/>
      <c r="F54" s="15">
        <f t="shared" si="0"/>
        <v>0</v>
      </c>
      <c r="H54" s="40"/>
      <c r="I54" s="3"/>
      <c r="J54" s="100"/>
      <c r="K54" s="39"/>
    </row>
    <row r="55" spans="1:10" ht="12.75" customHeight="1" thickBot="1">
      <c r="A55" s="12"/>
      <c r="B55" s="90" t="s">
        <v>82</v>
      </c>
      <c r="C55" s="43" t="s">
        <v>78</v>
      </c>
      <c r="D55" s="22"/>
      <c r="E55" s="22"/>
      <c r="F55" s="25" t="e">
        <f t="shared" si="0"/>
        <v>#DIV/0!</v>
      </c>
      <c r="H55" s="103"/>
      <c r="J55" s="100"/>
    </row>
    <row r="56" spans="1:10" ht="15" customHeight="1">
      <c r="A56" s="34" t="s">
        <v>83</v>
      </c>
      <c r="B56" s="78" t="s">
        <v>84</v>
      </c>
      <c r="C56" s="43" t="s">
        <v>85</v>
      </c>
      <c r="D56" s="14">
        <v>100.56</v>
      </c>
      <c r="E56" s="14">
        <v>100.56</v>
      </c>
      <c r="F56" s="15">
        <f t="shared" si="0"/>
        <v>1</v>
      </c>
      <c r="H56" s="111"/>
      <c r="J56" s="100"/>
    </row>
    <row r="57" spans="1:6" ht="145.5" customHeight="1">
      <c r="A57" s="35"/>
      <c r="B57" s="81" t="s">
        <v>100</v>
      </c>
      <c r="C57" s="47" t="s">
        <v>85</v>
      </c>
      <c r="D57" s="23" t="s">
        <v>102</v>
      </c>
      <c r="E57" s="23">
        <v>46.37</v>
      </c>
      <c r="F57" s="93">
        <v>46.37</v>
      </c>
    </row>
    <row r="58" spans="1:6" ht="66.75" customHeight="1">
      <c r="A58" s="36"/>
      <c r="B58" s="81" t="s">
        <v>101</v>
      </c>
      <c r="C58" s="47" t="s">
        <v>85</v>
      </c>
      <c r="D58" s="61" t="s">
        <v>102</v>
      </c>
      <c r="E58" s="23">
        <v>988.41</v>
      </c>
      <c r="F58" s="115">
        <v>988.41</v>
      </c>
    </row>
    <row r="59" spans="1:6" ht="66.75" customHeight="1" thickBot="1">
      <c r="A59" s="37"/>
      <c r="B59" s="113" t="s">
        <v>109</v>
      </c>
      <c r="C59" s="91" t="s">
        <v>85</v>
      </c>
      <c r="D59" s="114" t="s">
        <v>102</v>
      </c>
      <c r="E59" s="92">
        <v>192.42</v>
      </c>
      <c r="F59" s="116">
        <v>192.42</v>
      </c>
    </row>
    <row r="60" spans="1:6" ht="21" customHeight="1">
      <c r="A60" s="38"/>
      <c r="B60" s="39"/>
      <c r="C60" s="2"/>
      <c r="D60" s="40"/>
      <c r="E60" s="40"/>
      <c r="F60" s="40"/>
    </row>
    <row r="61" spans="2:6" ht="21" customHeight="1">
      <c r="B61" s="39" t="s">
        <v>86</v>
      </c>
      <c r="D61" s="42"/>
      <c r="E61" s="42"/>
      <c r="F61" s="42"/>
    </row>
    <row r="62" spans="1:11" s="27" customFormat="1" ht="17.25" customHeight="1">
      <c r="A62" s="43"/>
      <c r="B62" s="44" t="s">
        <v>87</v>
      </c>
      <c r="C62" s="43" t="s">
        <v>88</v>
      </c>
      <c r="D62" s="45">
        <f>SUM(D64:D67)</f>
        <v>475.3</v>
      </c>
      <c r="E62" s="14">
        <f>SUM(E64:E67)</f>
        <v>364.59999999999997</v>
      </c>
      <c r="F62" s="46">
        <f aca="true" t="shared" si="1" ref="F62:F73">E62/D62</f>
        <v>0.7670944666526404</v>
      </c>
      <c r="H62" s="39"/>
      <c r="I62" s="39"/>
      <c r="J62" s="39"/>
      <c r="K62" s="39"/>
    </row>
    <row r="63" spans="1:6" ht="12.75" customHeight="1">
      <c r="A63" s="47"/>
      <c r="B63" s="48" t="s">
        <v>89</v>
      </c>
      <c r="C63" s="47"/>
      <c r="D63" s="49"/>
      <c r="E63" s="20"/>
      <c r="F63" s="50"/>
    </row>
    <row r="64" spans="1:6" ht="13.5" customHeight="1">
      <c r="A64" s="47"/>
      <c r="B64" s="13" t="s">
        <v>90</v>
      </c>
      <c r="C64" s="47" t="s">
        <v>88</v>
      </c>
      <c r="D64" s="20">
        <v>398.6</v>
      </c>
      <c r="E64" s="20">
        <v>305.4</v>
      </c>
      <c r="F64" s="50">
        <f t="shared" si="1"/>
        <v>0.7661816357250375</v>
      </c>
    </row>
    <row r="65" spans="1:6" ht="13.5" customHeight="1">
      <c r="A65" s="51"/>
      <c r="B65" s="13" t="s">
        <v>91</v>
      </c>
      <c r="C65" s="47" t="s">
        <v>88</v>
      </c>
      <c r="D65" s="20">
        <v>21.5</v>
      </c>
      <c r="E65" s="20">
        <v>22</v>
      </c>
      <c r="F65" s="50">
        <f t="shared" si="1"/>
        <v>1.0232558139534884</v>
      </c>
    </row>
    <row r="66" spans="1:6" ht="13.5" customHeight="1">
      <c r="A66" s="51"/>
      <c r="B66" s="13" t="s">
        <v>92</v>
      </c>
      <c r="C66" s="47" t="s">
        <v>88</v>
      </c>
      <c r="D66" s="20">
        <v>1</v>
      </c>
      <c r="E66" s="20">
        <v>1</v>
      </c>
      <c r="F66" s="50">
        <f t="shared" si="1"/>
        <v>1</v>
      </c>
    </row>
    <row r="67" spans="1:6" ht="13.5" customHeight="1">
      <c r="A67" s="47"/>
      <c r="B67" s="13" t="s">
        <v>93</v>
      </c>
      <c r="C67" s="47" t="s">
        <v>88</v>
      </c>
      <c r="D67" s="20">
        <v>54.2</v>
      </c>
      <c r="E67" s="20">
        <v>36.2</v>
      </c>
      <c r="F67" s="50">
        <f t="shared" si="1"/>
        <v>0.6678966789667897</v>
      </c>
    </row>
    <row r="68" spans="1:11" s="27" customFormat="1" ht="17.25" customHeight="1">
      <c r="A68" s="43"/>
      <c r="B68" s="44" t="s">
        <v>94</v>
      </c>
      <c r="C68" s="43" t="s">
        <v>95</v>
      </c>
      <c r="D68" s="52">
        <v>139011</v>
      </c>
      <c r="E68" s="52">
        <f>(E12+E24+E36+1275.43)/E62/6*1000</f>
        <v>180691.2461144633</v>
      </c>
      <c r="F68" s="46">
        <f t="shared" si="1"/>
        <v>1.2998341578325694</v>
      </c>
      <c r="H68" s="39"/>
      <c r="I68" s="39"/>
      <c r="J68" s="39"/>
      <c r="K68" s="39"/>
    </row>
    <row r="69" spans="1:6" ht="12.75" customHeight="1">
      <c r="A69" s="47"/>
      <c r="B69" s="48" t="s">
        <v>89</v>
      </c>
      <c r="C69" s="47"/>
      <c r="D69" s="54"/>
      <c r="E69" s="53"/>
      <c r="F69" s="50"/>
    </row>
    <row r="70" spans="1:6" ht="13.5" customHeight="1">
      <c r="A70" s="47"/>
      <c r="B70" s="13" t="s">
        <v>90</v>
      </c>
      <c r="C70" s="47" t="s">
        <v>95</v>
      </c>
      <c r="D70" s="53">
        <v>143628</v>
      </c>
      <c r="E70" s="53">
        <f>E12/E64/6*1000</f>
        <v>182790.45514079893</v>
      </c>
      <c r="F70" s="50">
        <f t="shared" si="1"/>
        <v>1.2726658808922977</v>
      </c>
    </row>
    <row r="71" spans="1:6" ht="13.5" customHeight="1">
      <c r="A71" s="47"/>
      <c r="B71" s="13" t="s">
        <v>91</v>
      </c>
      <c r="C71" s="47" t="s">
        <v>95</v>
      </c>
      <c r="D71" s="53">
        <v>181698</v>
      </c>
      <c r="E71" s="53">
        <f>E24/E65/6*1000</f>
        <v>214544.1666666667</v>
      </c>
      <c r="F71" s="50">
        <f t="shared" si="1"/>
        <v>1.1807734078892815</v>
      </c>
    </row>
    <row r="72" spans="1:6" ht="13.5" customHeight="1">
      <c r="A72" s="47"/>
      <c r="B72" s="13" t="s">
        <v>92</v>
      </c>
      <c r="C72" s="47" t="s">
        <v>95</v>
      </c>
      <c r="D72" s="53">
        <v>163784</v>
      </c>
      <c r="E72" s="53">
        <f>1275.43/2/6*1000</f>
        <v>106285.83333333334</v>
      </c>
      <c r="F72" s="50">
        <f t="shared" si="1"/>
        <v>0.6489390498054348</v>
      </c>
    </row>
    <row r="73" spans="1:6" ht="13.5" customHeight="1">
      <c r="A73" s="47"/>
      <c r="B73" s="13" t="s">
        <v>93</v>
      </c>
      <c r="C73" s="47" t="s">
        <v>95</v>
      </c>
      <c r="D73" s="53">
        <v>87669</v>
      </c>
      <c r="E73" s="53">
        <f>E36/E67/6*1000</f>
        <v>141527.0718232044</v>
      </c>
      <c r="F73" s="50">
        <f t="shared" si="1"/>
        <v>1.6143342780595695</v>
      </c>
    </row>
    <row r="74" spans="4:5" ht="21" customHeight="1">
      <c r="D74" s="5"/>
      <c r="E74" s="5"/>
    </row>
    <row r="75" spans="1:5" s="58" customFormat="1" ht="21" customHeight="1">
      <c r="A75" s="55"/>
      <c r="B75" s="39"/>
      <c r="C75" s="56"/>
      <c r="D75" s="56"/>
      <c r="E75" s="57"/>
    </row>
  </sheetData>
  <sheetProtection/>
  <mergeCells count="8">
    <mergeCell ref="H3:H4"/>
    <mergeCell ref="D3:D4"/>
    <mergeCell ref="F3:F4"/>
    <mergeCell ref="A1:F1"/>
    <mergeCell ref="A3:A4"/>
    <mergeCell ref="B3:B4"/>
    <mergeCell ref="C3:C4"/>
    <mergeCell ref="E3:E4"/>
  </mergeCells>
  <printOptions/>
  <pageMargins left="0" right="0" top="0" bottom="0" header="0" footer="0"/>
  <pageSetup horizontalDpi="600" verticalDpi="600" orientation="portrait" paperSize="9" scale="90" r:id="rId3"/>
  <rowBreaks count="1" manualBreakCount="1">
    <brk id="49" max="5" man="1"/>
  </rowBreaks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Индира Нурсабитова1</cp:lastModifiedBy>
  <cp:lastPrinted>2023-07-27T08:30:10Z</cp:lastPrinted>
  <dcterms:created xsi:type="dcterms:W3CDTF">2016-06-16T06:30:56Z</dcterms:created>
  <dcterms:modified xsi:type="dcterms:W3CDTF">2023-12-06T08:00:36Z</dcterms:modified>
  <cp:category/>
  <cp:version/>
  <cp:contentType/>
  <cp:contentStatus/>
</cp:coreProperties>
</file>