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1295" windowHeight="10350" activeTab="0"/>
  </bookViews>
  <sheets>
    <sheet name="вода -рус.яз." sheetId="1" r:id="rId1"/>
  </sheets>
  <definedNames>
    <definedName name="_xlnm.Print_Titles" localSheetId="0">'вода -рус.яз.'!$3:$4</definedName>
    <definedName name="_xlnm.Print_Area" localSheetId="0">'вода -рус.яз.'!$A$1:$H$56</definedName>
  </definedNames>
  <calcPr fullCalcOnLoad="1"/>
</workbook>
</file>

<file path=xl/comments1.xml><?xml version="1.0" encoding="utf-8"?>
<comments xmlns="http://schemas.openxmlformats.org/spreadsheetml/2006/main">
  <authors>
    <author>PEO2</author>
  </authors>
  <commentList>
    <comment ref="J47" authorId="0">
      <text>
        <r>
          <rPr>
            <b/>
            <sz val="9"/>
            <rFont val="Tahoma"/>
            <family val="2"/>
          </rPr>
          <t>PEO2:</t>
        </r>
        <r>
          <rPr>
            <sz val="9"/>
            <rFont val="Tahoma"/>
            <family val="2"/>
          </rPr>
          <t xml:space="preserve">
доход-расход и минус КПН(20% от прибыли)</t>
        </r>
      </text>
    </comment>
  </commentList>
</comments>
</file>

<file path=xl/sharedStrings.xml><?xml version="1.0" encoding="utf-8"?>
<sst xmlns="http://schemas.openxmlformats.org/spreadsheetml/2006/main" count="177" uniqueCount="119">
  <si>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</si>
  <si>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</si>
  <si>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</si>
  <si>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</si>
  <si>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</si>
  <si>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</si>
  <si>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</si>
  <si>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</si>
  <si>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</si>
  <si>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</si>
  <si>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</si>
  <si>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</si>
  <si>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</si>
  <si>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</si>
  <si>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</si>
  <si>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</si>
  <si>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</si>
  <si>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</si>
  <si>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</si>
  <si>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</si>
  <si>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</si>
  <si>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</si>
  <si>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</si>
  <si>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</si>
  <si>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</si>
  <si>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</si>
  <si>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>3.2.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</si>
  <si>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</si>
  <si>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</si>
  <si>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</si>
  <si>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</si>
  <si>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</si>
  <si>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</si>
  <si>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</si>
  <si>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</si>
  <si>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</si>
  <si>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</si>
  <si>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</si>
  <si>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</si>
  <si>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>7.2.</t>
  </si>
  <si>
    <t>Налоги</t>
  </si>
  <si>
    <t>7.3.</t>
  </si>
  <si>
    <t>7.4.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</si>
  <si>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</si>
  <si>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</si>
  <si>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</si>
  <si>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</si>
  <si>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</si>
  <si>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</si>
  <si>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</si>
  <si>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</si>
  <si>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</si>
  <si>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</si>
  <si>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</si>
  <si>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</si>
  <si>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</si>
  <si>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>8.2.</t>
  </si>
  <si>
    <t>8.3.</t>
  </si>
  <si>
    <t>8.4.</t>
  </si>
  <si>
    <t>8.5.</t>
  </si>
  <si>
    <t>8.6.</t>
  </si>
  <si>
    <t>8.7.</t>
  </si>
  <si>
    <t>8.8.</t>
  </si>
  <si>
    <t>III.</t>
  </si>
  <si>
    <t>Всего затрат на предоставление услуг</t>
  </si>
  <si>
    <t>IV.</t>
  </si>
  <si>
    <t>V.</t>
  </si>
  <si>
    <t>Всего доходов</t>
  </si>
  <si>
    <t>VI.</t>
  </si>
  <si>
    <t xml:space="preserve">Объемы оказываемых услуг </t>
  </si>
  <si>
    <t>тыс.м³</t>
  </si>
  <si>
    <t xml:space="preserve"> население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</si>
  <si>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</si>
  <si>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</si>
  <si>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</si>
  <si>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>Нормативные технические потери</t>
  </si>
  <si>
    <t>%</t>
  </si>
  <si>
    <t xml:space="preserve">   -"- в натуральных показателях</t>
  </si>
  <si>
    <t>VIII.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</si>
  <si>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</si>
  <si>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</si>
  <si>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план 7 мес</t>
  </si>
  <si>
    <t>утвержден с 1июня 2017г.-55,26 (по пр.134-ОД от 20.04.2015г.)</t>
  </si>
  <si>
    <t xml:space="preserve">утвержден с 1июня 2017г.-90,49 (по пр.134-ОД от 20.04.2015г) </t>
  </si>
  <si>
    <t xml:space="preserve">утвержден с 1июня 2017г.-197,02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</si>
  <si>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</si>
  <si>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</si>
  <si>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2018г.-62,46 (по пр.134-ОД от 20.04.2015г.) с 1 января 2019г. - 59,34 (пр.347 от 21.11.2018г)</t>
  </si>
  <si>
    <t xml:space="preserve">утвержден с 1июня 2018г.-95,90 (по пр.134-ОД от 20.04.2015г) </t>
  </si>
  <si>
    <t xml:space="preserve">утвержден с 1июня 2018г.-197,02 (по пр.134-ОД от 20.04.2015г.) </t>
  </si>
  <si>
    <t>Материалы на содержание</t>
  </si>
  <si>
    <t xml:space="preserve">  Информация о ходе исполнения тарифной сметы на услуги  водоснабжения, оказываемые ГКП на праве хозяйственного ведения "Өскемен Водоканал" акимата г.Усть-Каменогорск  за 12 месяцев 2022 года</t>
  </si>
  <si>
    <t>План на 2022г.</t>
  </si>
  <si>
    <t>Факт за 2022г.</t>
  </si>
  <si>
    <t>на выполнение инвестиционной программы</t>
  </si>
  <si>
    <t>на возврат основного долга по кредиту ЕБРР</t>
  </si>
  <si>
    <t>на возврат основного долга по кредиту Нурлы Жол</t>
  </si>
  <si>
    <t>3.3.</t>
  </si>
  <si>
    <t>% по кредиту ЕБРР</t>
  </si>
  <si>
    <t>% по кредиту Нурлы жол</t>
  </si>
  <si>
    <t>7.1.1.</t>
  </si>
  <si>
    <t>7.1.2.</t>
  </si>
  <si>
    <t>7.11.</t>
  </si>
  <si>
    <t xml:space="preserve">Доход            </t>
  </si>
  <si>
    <t>организации, содержащиеся за счет бюджетных средств</t>
  </si>
  <si>
    <t>утвержден  с 1 января 2022г. - 44,86                          (пр.277-ОД от 29.11.2021г)                          утвержден  с 1 июля 2022г. - 46,37        (пр.158-ОД от 25.07.2022г)</t>
  </si>
  <si>
    <t>утвержден  с 1 января 2022г. - 87,74                          (пр.277-ОД от 29.11.2021г)                          утвержден  с 1 июля 2022г. - 46,37        (пр.158-ОД от 25.07.2022г)</t>
  </si>
  <si>
    <t>утвержден  с 1 января 2022г. - 148,93                          (пр.277-ОД от 29.11.2021г)                          утвержден  с 1 июля 2022г. - 988,41        (пр.158-ОД от 25.07.2022г)</t>
  </si>
  <si>
    <t>утвержден  с 1 января 2022г. - 148,93                          (пр.277-ОД от 29.11.2021г)                          утвержден  с 1 июля 2022г. - 192,42        (пр.158-ОД от 25.07.2022г)</t>
  </si>
  <si>
    <t xml:space="preserve"> Тариф без НДС</t>
  </si>
  <si>
    <t>Содержание служебного транспорта</t>
  </si>
  <si>
    <t>Услуги по обработке и доставке платежного документа</t>
  </si>
  <si>
    <t xml:space="preserve">Заработная плата     </t>
  </si>
  <si>
    <t>Отчисления от заработной платы</t>
  </si>
  <si>
    <t>Амортизация основных средств</t>
  </si>
  <si>
    <t xml:space="preserve">Материалы  на содержание </t>
  </si>
  <si>
    <t>Прочие  затраты  на содержание службы сбыта</t>
  </si>
  <si>
    <t>заработная плата административного персонала</t>
  </si>
  <si>
    <t>8.9.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</si>
</sst>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9"/>
      <name val="Arial Cyr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 wrapText="1"/>
    </xf>
    <xf numFmtId="172" fontId="21" fillId="0" borderId="1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" fontId="0" fillId="0" borderId="13" xfId="0" applyNumberFormat="1" applyFill="1" applyBorder="1" applyAlignment="1">
      <alignment horizontal="center" vertical="center"/>
    </xf>
    <xf numFmtId="16" fontId="0" fillId="0" borderId="14" xfId="0" applyNumberForma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16" fontId="22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vertical="center"/>
    </xf>
    <xf numFmtId="172" fontId="21" fillId="0" borderId="21" xfId="0" applyNumberFormat="1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14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172" fontId="0" fillId="0" borderId="17" xfId="0" applyNumberFormat="1" applyFill="1" applyBorder="1" applyAlignment="1">
      <alignment horizontal="center"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1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172" fontId="0" fillId="0" borderId="27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/>
    </xf>
    <xf numFmtId="172" fontId="22" fillId="0" borderId="28" xfId="0" applyNumberFormat="1" applyFont="1" applyFill="1" applyBorder="1" applyAlignment="1">
      <alignment horizontal="center" vertical="center"/>
    </xf>
    <xf numFmtId="172" fontId="0" fillId="0" borderId="29" xfId="0" applyNumberFormat="1" applyFill="1" applyBorder="1" applyAlignment="1">
      <alignment horizontal="center" vertical="center"/>
    </xf>
    <xf numFmtId="172" fontId="22" fillId="0" borderId="27" xfId="0" applyNumberFormat="1" applyFont="1" applyFill="1" applyBorder="1" applyAlignment="1">
      <alignment horizontal="center" vertical="center"/>
    </xf>
    <xf numFmtId="172" fontId="21" fillId="0" borderId="28" xfId="0" applyNumberFormat="1" applyFont="1" applyFill="1" applyBorder="1" applyAlignment="1">
      <alignment horizontal="center" vertical="center"/>
    </xf>
    <xf numFmtId="172" fontId="0" fillId="0" borderId="27" xfId="0" applyNumberFormat="1" applyFont="1" applyFill="1" applyBorder="1" applyAlignment="1">
      <alignment horizontal="center" vertical="center"/>
    </xf>
    <xf numFmtId="4" fontId="21" fillId="0" borderId="23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173" fontId="21" fillId="0" borderId="30" xfId="55" applyNumberFormat="1" applyFont="1" applyFill="1" applyBorder="1" applyAlignment="1">
      <alignment horizontal="center" vertical="center"/>
    </xf>
    <xf numFmtId="173" fontId="21" fillId="0" borderId="31" xfId="55" applyNumberFormat="1" applyFont="1" applyFill="1" applyBorder="1" applyAlignment="1">
      <alignment horizontal="center" vertical="center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25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0" fillId="0" borderId="25" xfId="0" applyNumberFormat="1" applyFont="1" applyFill="1" applyBorder="1" applyAlignment="1">
      <alignment horizontal="center" vertical="center"/>
    </xf>
    <xf numFmtId="173" fontId="0" fillId="0" borderId="33" xfId="55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/>
    </xf>
    <xf numFmtId="172" fontId="21" fillId="24" borderId="17" xfId="0" applyNumberFormat="1" applyFont="1" applyFill="1" applyBorder="1" applyAlignment="1">
      <alignment horizontal="center" vertical="center"/>
    </xf>
    <xf numFmtId="172" fontId="21" fillId="24" borderId="19" xfId="0" applyNumberFormat="1" applyFont="1" applyFill="1" applyBorder="1" applyAlignment="1">
      <alignment horizontal="center" vertical="center"/>
    </xf>
    <xf numFmtId="4" fontId="21" fillId="24" borderId="21" xfId="0" applyNumberFormat="1" applyFont="1" applyFill="1" applyBorder="1" applyAlignment="1">
      <alignment horizontal="center" vertical="center"/>
    </xf>
    <xf numFmtId="4" fontId="21" fillId="24" borderId="23" xfId="0" applyNumberFormat="1" applyFont="1" applyFill="1" applyBorder="1" applyAlignment="1">
      <alignment horizontal="center" vertical="center"/>
    </xf>
    <xf numFmtId="4" fontId="0" fillId="24" borderId="17" xfId="0" applyNumberFormat="1" applyFont="1" applyFill="1" applyBorder="1" applyAlignment="1">
      <alignment horizontal="center" vertical="center"/>
    </xf>
    <xf numFmtId="172" fontId="0" fillId="24" borderId="17" xfId="0" applyNumberFormat="1" applyFont="1" applyFill="1" applyBorder="1" applyAlignment="1">
      <alignment horizontal="center" vertical="center"/>
    </xf>
    <xf numFmtId="172" fontId="0" fillId="24" borderId="15" xfId="0" applyNumberFormat="1" applyFont="1" applyFill="1" applyBorder="1" applyAlignment="1">
      <alignment horizontal="center" vertical="center"/>
    </xf>
    <xf numFmtId="4" fontId="0" fillId="24" borderId="17" xfId="0" applyNumberFormat="1" applyFont="1" applyFill="1" applyBorder="1" applyAlignment="1">
      <alignment horizontal="center" vertical="center" wrapText="1"/>
    </xf>
    <xf numFmtId="4" fontId="21" fillId="24" borderId="11" xfId="0" applyNumberFormat="1" applyFont="1" applyFill="1" applyBorder="1" applyAlignment="1">
      <alignment horizontal="center" vertical="center" wrapText="1"/>
    </xf>
    <xf numFmtId="4" fontId="0" fillId="25" borderId="27" xfId="0" applyNumberFormat="1" applyFont="1" applyFill="1" applyBorder="1" applyAlignment="1">
      <alignment horizontal="center" vertical="center"/>
    </xf>
    <xf numFmtId="4" fontId="0" fillId="25" borderId="25" xfId="0" applyNumberFormat="1" applyFont="1" applyFill="1" applyBorder="1" applyAlignment="1">
      <alignment horizontal="center" vertical="center"/>
    </xf>
    <xf numFmtId="4" fontId="0" fillId="25" borderId="34" xfId="0" applyNumberFormat="1" applyFont="1" applyFill="1" applyBorder="1" applyAlignment="1">
      <alignment horizontal="center" vertical="center"/>
    </xf>
    <xf numFmtId="172" fontId="0" fillId="25" borderId="35" xfId="0" applyNumberFormat="1" applyFont="1" applyFill="1" applyBorder="1" applyAlignment="1">
      <alignment horizontal="center" vertical="center"/>
    </xf>
    <xf numFmtId="173" fontId="0" fillId="25" borderId="36" xfId="55" applyNumberFormat="1" applyFont="1" applyFill="1" applyBorder="1" applyAlignment="1">
      <alignment horizontal="center" vertical="center"/>
    </xf>
    <xf numFmtId="0" fontId="0" fillId="25" borderId="16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vertical="center"/>
    </xf>
    <xf numFmtId="4" fontId="0" fillId="25" borderId="17" xfId="0" applyNumberFormat="1" applyFont="1" applyFill="1" applyBorder="1" applyAlignment="1">
      <alignment horizontal="center" vertical="center"/>
    </xf>
    <xf numFmtId="172" fontId="0" fillId="25" borderId="17" xfId="0" applyNumberFormat="1" applyFont="1" applyFill="1" applyBorder="1" applyAlignment="1">
      <alignment horizontal="center" vertical="center"/>
    </xf>
    <xf numFmtId="172" fontId="0" fillId="25" borderId="34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/>
    </xf>
    <xf numFmtId="4" fontId="0" fillId="25" borderId="15" xfId="0" applyNumberFormat="1" applyFont="1" applyFill="1" applyBorder="1" applyAlignment="1">
      <alignment horizontal="center" vertical="center" wrapText="1"/>
    </xf>
    <xf numFmtId="172" fontId="0" fillId="25" borderId="15" xfId="0" applyNumberFormat="1" applyFont="1" applyFill="1" applyBorder="1" applyAlignment="1">
      <alignment horizontal="center" vertical="center" wrapText="1"/>
    </xf>
    <xf numFmtId="4" fontId="0" fillId="25" borderId="26" xfId="0" applyNumberFormat="1" applyFont="1" applyFill="1" applyBorder="1" applyAlignment="1">
      <alignment horizontal="center" vertical="center"/>
    </xf>
    <xf numFmtId="174" fontId="0" fillId="25" borderId="16" xfId="0" applyNumberFormat="1" applyFont="1" applyFill="1" applyBorder="1" applyAlignment="1">
      <alignment horizontal="center" vertical="center"/>
    </xf>
    <xf numFmtId="0" fontId="0" fillId="25" borderId="17" xfId="0" applyFont="1" applyFill="1" applyBorder="1" applyAlignment="1">
      <alignment vertical="center"/>
    </xf>
    <xf numFmtId="173" fontId="0" fillId="25" borderId="37" xfId="55" applyNumberFormat="1" applyFont="1" applyFill="1" applyBorder="1" applyAlignment="1">
      <alignment horizontal="center" vertical="center" wrapText="1"/>
    </xf>
    <xf numFmtId="0" fontId="0" fillId="25" borderId="17" xfId="0" applyFont="1" applyFill="1" applyBorder="1" applyAlignment="1">
      <alignment horizontal="left" vertical="center"/>
    </xf>
    <xf numFmtId="4" fontId="0" fillId="25" borderId="17" xfId="0" applyNumberFormat="1" applyFont="1" applyFill="1" applyBorder="1" applyAlignment="1">
      <alignment horizontal="center" vertical="center" wrapText="1"/>
    </xf>
    <xf numFmtId="172" fontId="0" fillId="25" borderId="17" xfId="0" applyNumberFormat="1" applyFont="1" applyFill="1" applyBorder="1" applyAlignment="1">
      <alignment horizontal="center" vertical="center" wrapText="1"/>
    </xf>
    <xf numFmtId="174" fontId="0" fillId="25" borderId="38" xfId="0" applyNumberFormat="1" applyFont="1" applyFill="1" applyBorder="1" applyAlignment="1">
      <alignment horizontal="center" vertical="center"/>
    </xf>
    <xf numFmtId="4" fontId="0" fillId="25" borderId="26" xfId="0" applyNumberFormat="1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vertical="center" wrapText="1"/>
    </xf>
    <xf numFmtId="4" fontId="21" fillId="25" borderId="21" xfId="0" applyNumberFormat="1" applyFont="1" applyFill="1" applyBorder="1" applyAlignment="1">
      <alignment horizontal="center" vertical="center"/>
    </xf>
    <xf numFmtId="173" fontId="21" fillId="25" borderId="31" xfId="55" applyNumberFormat="1" applyFont="1" applyFill="1" applyBorder="1" applyAlignment="1">
      <alignment horizontal="center" vertical="center"/>
    </xf>
    <xf numFmtId="0" fontId="21" fillId="25" borderId="21" xfId="0" applyFont="1" applyFill="1" applyBorder="1" applyAlignment="1">
      <alignment vertical="center"/>
    </xf>
    <xf numFmtId="172" fontId="21" fillId="25" borderId="21" xfId="0" applyNumberFormat="1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vertical="center"/>
    </xf>
    <xf numFmtId="4" fontId="21" fillId="25" borderId="25" xfId="0" applyNumberFormat="1" applyFont="1" applyFill="1" applyBorder="1" applyAlignment="1">
      <alignment horizontal="center" vertical="center"/>
    </xf>
    <xf numFmtId="172" fontId="21" fillId="25" borderId="39" xfId="0" applyNumberFormat="1" applyFont="1" applyFill="1" applyBorder="1" applyAlignment="1">
      <alignment horizontal="center" vertical="center"/>
    </xf>
    <xf numFmtId="4" fontId="21" fillId="25" borderId="28" xfId="0" applyNumberFormat="1" applyFont="1" applyFill="1" applyBorder="1" applyAlignment="1">
      <alignment horizontal="center" vertical="center"/>
    </xf>
    <xf numFmtId="173" fontId="21" fillId="25" borderId="40" xfId="55" applyNumberFormat="1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vertical="center"/>
    </xf>
    <xf numFmtId="172" fontId="0" fillId="25" borderId="32" xfId="0" applyNumberFormat="1" applyFont="1" applyFill="1" applyBorder="1" applyAlignment="1">
      <alignment horizontal="center" vertical="center"/>
    </xf>
    <xf numFmtId="173" fontId="0" fillId="25" borderId="33" xfId="55" applyNumberFormat="1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vertical="center" wrapText="1"/>
    </xf>
    <xf numFmtId="0" fontId="0" fillId="25" borderId="34" xfId="0" applyFont="1" applyFill="1" applyBorder="1" applyAlignment="1">
      <alignment vertical="center"/>
    </xf>
    <xf numFmtId="4" fontId="0" fillId="25" borderId="19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vertical="center"/>
    </xf>
    <xf numFmtId="172" fontId="0" fillId="0" borderId="25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4" fontId="26" fillId="0" borderId="17" xfId="0" applyNumberFormat="1" applyFont="1" applyFill="1" applyBorder="1" applyAlignment="1">
      <alignment horizontal="center" vertical="top" wrapText="1"/>
    </xf>
    <xf numFmtId="4" fontId="21" fillId="0" borderId="37" xfId="0" applyNumberFormat="1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4" fontId="26" fillId="0" borderId="26" xfId="0" applyNumberFormat="1" applyFont="1" applyFill="1" applyBorder="1" applyAlignment="1">
      <alignment horizontal="center" vertical="top" wrapText="1"/>
    </xf>
    <xf numFmtId="4" fontId="21" fillId="0" borderId="43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21" xfId="0" applyFont="1" applyFill="1" applyBorder="1" applyAlignment="1">
      <alignment horizontal="center" vertical="center"/>
    </xf>
    <xf numFmtId="0" fontId="18" fillId="25" borderId="17" xfId="0" applyFont="1" applyFill="1" applyBorder="1" applyAlignment="1">
      <alignment horizontal="center" vertical="center"/>
    </xf>
    <xf numFmtId="0" fontId="29" fillId="25" borderId="17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25" borderId="1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18" fillId="25" borderId="26" xfId="0" applyFont="1" applyFill="1" applyBorder="1" applyAlignment="1">
      <alignment horizontal="center" vertical="center"/>
    </xf>
    <xf numFmtId="0" fontId="27" fillId="25" borderId="21" xfId="0" applyFont="1" applyFill="1" applyBorder="1" applyAlignment="1">
      <alignment horizontal="center" vertical="center"/>
    </xf>
    <xf numFmtId="0" fontId="27" fillId="25" borderId="11" xfId="0" applyFont="1" applyFill="1" applyBorder="1" applyAlignment="1">
      <alignment horizontal="center" vertical="center"/>
    </xf>
    <xf numFmtId="0" fontId="18" fillId="25" borderId="32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173" fontId="21" fillId="0" borderId="39" xfId="55" applyNumberFormat="1" applyFont="1" applyFill="1" applyBorder="1" applyAlignment="1">
      <alignment horizontal="center" vertical="center"/>
    </xf>
    <xf numFmtId="173" fontId="0" fillId="25" borderId="35" xfId="55" applyNumberFormat="1" applyFont="1" applyFill="1" applyBorder="1" applyAlignment="1">
      <alignment horizontal="center" vertical="center"/>
    </xf>
    <xf numFmtId="173" fontId="21" fillId="0" borderId="44" xfId="55" applyNumberFormat="1" applyFont="1" applyFill="1" applyBorder="1" applyAlignment="1">
      <alignment horizontal="center" vertical="center"/>
    </xf>
    <xf numFmtId="172" fontId="21" fillId="0" borderId="45" xfId="0" applyNumberFormat="1" applyFont="1" applyFill="1" applyBorder="1" applyAlignment="1">
      <alignment horizontal="center" vertical="center"/>
    </xf>
    <xf numFmtId="172" fontId="22" fillId="0" borderId="46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4" fontId="0" fillId="25" borderId="32" xfId="0" applyNumberFormat="1" applyFont="1" applyFill="1" applyBorder="1" applyAlignment="1">
      <alignment horizontal="center" vertical="center"/>
    </xf>
    <xf numFmtId="0" fontId="22" fillId="0" borderId="32" xfId="0" applyFont="1" applyFill="1" applyBorder="1" applyAlignment="1">
      <alignment horizontal="center" vertical="center"/>
    </xf>
    <xf numFmtId="173" fontId="21" fillId="0" borderId="47" xfId="55" applyNumberFormat="1" applyFont="1" applyFill="1" applyBorder="1" applyAlignment="1">
      <alignment horizontal="center" vertical="center"/>
    </xf>
    <xf numFmtId="173" fontId="21" fillId="0" borderId="48" xfId="55" applyNumberFormat="1" applyFont="1" applyFill="1" applyBorder="1" applyAlignment="1">
      <alignment horizontal="center" vertical="center"/>
    </xf>
    <xf numFmtId="173" fontId="21" fillId="0" borderId="49" xfId="55" applyNumberFormat="1" applyFont="1" applyFill="1" applyBorder="1" applyAlignment="1">
      <alignment horizontal="center" vertical="center"/>
    </xf>
    <xf numFmtId="173" fontId="0" fillId="25" borderId="44" xfId="55" applyNumberFormat="1" applyFont="1" applyFill="1" applyBorder="1" applyAlignment="1">
      <alignment horizontal="center" vertical="center"/>
    </xf>
    <xf numFmtId="173" fontId="0" fillId="0" borderId="50" xfId="55" applyNumberFormat="1" applyFont="1" applyFill="1" applyBorder="1" applyAlignment="1">
      <alignment horizontal="center" vertical="center"/>
    </xf>
    <xf numFmtId="173" fontId="0" fillId="0" borderId="44" xfId="55" applyNumberFormat="1" applyFont="1" applyFill="1" applyBorder="1" applyAlignment="1">
      <alignment horizontal="center" vertical="center" wrapText="1"/>
    </xf>
    <xf numFmtId="173" fontId="0" fillId="0" borderId="44" xfId="55" applyNumberFormat="1" applyFont="1" applyFill="1" applyBorder="1" applyAlignment="1">
      <alignment horizontal="center" vertical="center"/>
    </xf>
    <xf numFmtId="173" fontId="0" fillId="25" borderId="50" xfId="55" applyNumberFormat="1" applyFont="1" applyFill="1" applyBorder="1" applyAlignment="1">
      <alignment horizontal="center" vertical="center" wrapText="1"/>
    </xf>
    <xf numFmtId="173" fontId="21" fillId="0" borderId="39" xfId="55" applyNumberFormat="1" applyFont="1" applyFill="1" applyBorder="1" applyAlignment="1">
      <alignment horizontal="center" vertical="center" wrapText="1"/>
    </xf>
    <xf numFmtId="172" fontId="22" fillId="0" borderId="51" xfId="0" applyNumberFormat="1" applyFont="1" applyFill="1" applyBorder="1" applyAlignment="1">
      <alignment horizontal="center" vertical="center"/>
    </xf>
    <xf numFmtId="172" fontId="21" fillId="0" borderId="52" xfId="0" applyNumberFormat="1" applyFont="1" applyFill="1" applyBorder="1" applyAlignment="1">
      <alignment horizontal="center" vertical="center"/>
    </xf>
    <xf numFmtId="172" fontId="22" fillId="0" borderId="53" xfId="0" applyNumberFormat="1" applyFont="1" applyFill="1" applyBorder="1" applyAlignment="1">
      <alignment horizontal="center" vertical="center"/>
    </xf>
    <xf numFmtId="172" fontId="0" fillId="0" borderId="46" xfId="0" applyNumberFormat="1" applyFont="1" applyFill="1" applyBorder="1" applyAlignment="1">
      <alignment horizontal="center" vertical="center"/>
    </xf>
    <xf numFmtId="172" fontId="20" fillId="0" borderId="46" xfId="0" applyNumberFormat="1" applyFont="1" applyFill="1" applyBorder="1" applyAlignment="1">
      <alignment horizontal="center" vertical="center"/>
    </xf>
    <xf numFmtId="172" fontId="20" fillId="0" borderId="29" xfId="0" applyNumberFormat="1" applyFont="1" applyFill="1" applyBorder="1" applyAlignment="1">
      <alignment horizontal="center" vertical="center"/>
    </xf>
    <xf numFmtId="172" fontId="0" fillId="0" borderId="28" xfId="0" applyNumberFormat="1" applyFill="1" applyBorder="1" applyAlignment="1">
      <alignment horizontal="center" vertical="center"/>
    </xf>
    <xf numFmtId="172" fontId="0" fillId="0" borderId="46" xfId="0" applyNumberFormat="1" applyFill="1" applyBorder="1" applyAlignment="1">
      <alignment horizontal="center" vertical="center" wrapText="1"/>
    </xf>
    <xf numFmtId="172" fontId="0" fillId="0" borderId="46" xfId="0" applyNumberFormat="1" applyFont="1" applyFill="1" applyBorder="1" applyAlignment="1">
      <alignment horizontal="center" vertical="center" wrapText="1"/>
    </xf>
    <xf numFmtId="172" fontId="0" fillId="0" borderId="46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/>
    </xf>
    <xf numFmtId="172" fontId="0" fillId="0" borderId="28" xfId="0" applyNumberFormat="1" applyFont="1" applyFill="1" applyBorder="1" applyAlignment="1">
      <alignment horizontal="center" vertical="center" wrapText="1"/>
    </xf>
    <xf numFmtId="172" fontId="21" fillId="0" borderId="45" xfId="0" applyNumberFormat="1" applyFont="1" applyFill="1" applyBorder="1" applyAlignment="1">
      <alignment horizontal="center" vertical="center" wrapText="1"/>
    </xf>
    <xf numFmtId="0" fontId="20" fillId="0" borderId="32" xfId="0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 wrapText="1"/>
    </xf>
    <xf numFmtId="4" fontId="21" fillId="25" borderId="13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 wrapText="1"/>
    </xf>
    <xf numFmtId="4" fontId="26" fillId="0" borderId="15" xfId="0" applyNumberFormat="1" applyFont="1" applyFill="1" applyBorder="1" applyAlignment="1">
      <alignment horizontal="center" vertical="top" wrapText="1"/>
    </xf>
    <xf numFmtId="4" fontId="21" fillId="0" borderId="40" xfId="0" applyNumberFormat="1" applyFont="1" applyFill="1" applyBorder="1" applyAlignment="1">
      <alignment horizontal="center" vertical="center"/>
    </xf>
    <xf numFmtId="4" fontId="21" fillId="25" borderId="0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25" borderId="17" xfId="0" applyFill="1" applyBorder="1" applyAlignment="1">
      <alignment vertical="center" wrapText="1"/>
    </xf>
    <xf numFmtId="0" fontId="0" fillId="25" borderId="17" xfId="0" applyFill="1" applyBorder="1" applyAlignment="1">
      <alignment vertical="center"/>
    </xf>
    <xf numFmtId="0" fontId="0" fillId="25" borderId="17" xfId="0" applyFill="1" applyBorder="1" applyAlignment="1">
      <alignment horizontal="left" vertical="center"/>
    </xf>
    <xf numFmtId="173" fontId="21" fillId="0" borderId="17" xfId="55" applyNumberFormat="1" applyFont="1" applyFill="1" applyBorder="1" applyAlignment="1">
      <alignment horizontal="center" vertical="center"/>
    </xf>
    <xf numFmtId="4" fontId="0" fillId="0" borderId="17" xfId="0" applyNumberFormat="1" applyFill="1" applyBorder="1" applyAlignment="1">
      <alignment horizontal="center" vertical="center"/>
    </xf>
    <xf numFmtId="173" fontId="0" fillId="0" borderId="17" xfId="55" applyNumberFormat="1" applyFont="1" applyFill="1" applyBorder="1" applyAlignment="1">
      <alignment horizontal="center" vertical="center"/>
    </xf>
    <xf numFmtId="173" fontId="0" fillId="25" borderId="17" xfId="55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7" fillId="0" borderId="54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55" xfId="0" applyFont="1" applyFill="1" applyBorder="1" applyAlignment="1">
      <alignment horizontal="left" vertical="center"/>
    </xf>
    <xf numFmtId="0" fontId="28" fillId="0" borderId="56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0" fontId="28" fillId="0" borderId="23" xfId="0" applyFont="1" applyFill="1" applyBorder="1" applyAlignment="1">
      <alignment horizontal="left" vertical="center"/>
    </xf>
    <xf numFmtId="0" fontId="18" fillId="0" borderId="25" xfId="0" applyFont="1" applyFill="1" applyBorder="1" applyAlignment="1">
      <alignment horizontal="left" vertical="center"/>
    </xf>
    <xf numFmtId="0" fontId="18" fillId="0" borderId="42" xfId="0" applyFont="1" applyFill="1" applyBorder="1" applyAlignment="1">
      <alignment horizontal="left" vertical="center"/>
    </xf>
    <xf numFmtId="0" fontId="18" fillId="0" borderId="19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172" fontId="0" fillId="0" borderId="15" xfId="0" applyNumberFormat="1" applyFill="1" applyBorder="1" applyAlignment="1">
      <alignment horizontal="center" vertical="center" wrapText="1"/>
    </xf>
    <xf numFmtId="172" fontId="21" fillId="24" borderId="51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Alignment="1">
      <alignment horizontal="center" vertical="center"/>
    </xf>
    <xf numFmtId="4" fontId="21" fillId="0" borderId="36" xfId="0" applyNumberFormat="1" applyFont="1" applyFill="1" applyBorder="1" applyAlignment="1">
      <alignment horizontal="center" vertical="center"/>
    </xf>
    <xf numFmtId="4" fontId="26" fillId="0" borderId="34" xfId="0" applyNumberFormat="1" applyFont="1" applyFill="1" applyBorder="1" applyAlignment="1">
      <alignment horizontal="center" vertical="top" wrapText="1"/>
    </xf>
    <xf numFmtId="4" fontId="0" fillId="25" borderId="27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 wrapText="1"/>
    </xf>
    <xf numFmtId="174" fontId="0" fillId="25" borderId="24" xfId="0" applyNumberFormat="1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vertical="center" wrapText="1"/>
    </xf>
    <xf numFmtId="4" fontId="0" fillId="25" borderId="15" xfId="0" applyNumberFormat="1" applyFont="1" applyFill="1" applyBorder="1" applyAlignment="1">
      <alignment horizontal="center" vertical="center"/>
    </xf>
    <xf numFmtId="173" fontId="0" fillId="25" borderId="40" xfId="55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left" vertical="center" wrapText="1"/>
    </xf>
    <xf numFmtId="0" fontId="20" fillId="25" borderId="17" xfId="0" applyFont="1" applyFill="1" applyBorder="1" applyAlignment="1">
      <alignment horizontal="right" vertical="center" wrapText="1"/>
    </xf>
    <xf numFmtId="0" fontId="20" fillId="25" borderId="34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4" fontId="0" fillId="25" borderId="15" xfId="0" applyNumberFormat="1" applyFill="1" applyBorder="1" applyAlignment="1">
      <alignment horizontal="center" vertical="center" wrapText="1"/>
    </xf>
    <xf numFmtId="4" fontId="21" fillId="25" borderId="31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8" fillId="25" borderId="25" xfId="0" applyFont="1" applyFill="1" applyBorder="1" applyAlignment="1">
      <alignment horizontal="center" vertical="center"/>
    </xf>
    <xf numFmtId="4" fontId="0" fillId="25" borderId="25" xfId="0" applyNumberFormat="1" applyFont="1" applyFill="1" applyBorder="1" applyAlignment="1">
      <alignment horizontal="center" vertical="center"/>
    </xf>
    <xf numFmtId="4" fontId="26" fillId="0" borderId="35" xfId="0" applyNumberFormat="1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4" fontId="26" fillId="0" borderId="44" xfId="0" applyNumberFormat="1" applyFont="1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30" xfId="0" applyFont="1" applyFill="1" applyBorder="1" applyAlignment="1">
      <alignment horizontal="center" vertical="center" wrapText="1"/>
    </xf>
    <xf numFmtId="0" fontId="21" fillId="0" borderId="60" xfId="0" applyFont="1" applyFill="1" applyBorder="1" applyAlignment="1">
      <alignment horizontal="center" vertical="center" wrapText="1"/>
    </xf>
    <xf numFmtId="173" fontId="0" fillId="25" borderId="33" xfId="55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view="pageBreakPreview" zoomScale="60" zoomScalePageLayoutView="0" workbookViewId="0" topLeftCell="A1">
      <pane ySplit="1" topLeftCell="A19" activePane="bottomLeft" state="frozen"/>
      <selection pane="topLeft" activeCell="A1" sqref="A1"/>
      <selection pane="bottomLeft" activeCell="B19" sqref="B19"/>
    </sheetView>
  </sheetViews>
  <sheetFormatPr defaultColWidth="9.00390625" defaultRowHeight="21" customHeight="1"/>
  <cols>
    <col min="1" max="1" width="4.875" style="40" customWidth="1"/>
    <col min="2" max="2" width="45.125" style="1" customWidth="1"/>
    <col min="3" max="3" width="9.875" style="211" customWidth="1"/>
    <col min="4" max="4" width="19.00390625" style="1" hidden="1" customWidth="1"/>
    <col min="5" max="5" width="14.875" style="1" hidden="1" customWidth="1"/>
    <col min="6" max="6" width="18.375" style="1" customWidth="1"/>
    <col min="7" max="7" width="18.00390625" style="1" customWidth="1"/>
    <col min="8" max="8" width="13.875" style="1" customWidth="1"/>
    <col min="9" max="9" width="15.375" style="228" customWidth="1"/>
    <col min="10" max="10" width="10.625" style="1" hidden="1" customWidth="1"/>
    <col min="11" max="11" width="9.125" style="1" hidden="1" customWidth="1"/>
    <col min="12" max="12" width="10.625" style="1" hidden="1" customWidth="1"/>
    <col min="13" max="13" width="12.75390625" style="1" customWidth="1"/>
    <col min="14" max="16384" width="9.125" style="1" customWidth="1"/>
  </cols>
  <sheetData>
    <row r="1" spans="1:8" ht="45.75" customHeight="1">
      <c r="A1" s="235" t="s">
        <v>91</v>
      </c>
      <c r="B1" s="235"/>
      <c r="C1" s="235"/>
      <c r="D1" s="235"/>
      <c r="E1" s="235"/>
      <c r="F1" s="235"/>
      <c r="G1" s="235"/>
      <c r="H1" s="235"/>
    </row>
    <row r="2" spans="1:8" ht="21" customHeight="1" thickBot="1">
      <c r="A2" s="2"/>
      <c r="B2" s="3"/>
      <c r="C2" s="201"/>
      <c r="D2" s="3"/>
      <c r="E2" s="4"/>
      <c r="F2" s="3"/>
      <c r="G2" s="3"/>
      <c r="H2" s="3"/>
    </row>
    <row r="3" spans="1:11" ht="38.25" customHeight="1" thickBot="1">
      <c r="A3" s="236" t="s">
        <v>0</v>
      </c>
      <c r="B3" s="238" t="s">
        <v>1</v>
      </c>
      <c r="C3" s="240" t="s">
        <v>2</v>
      </c>
      <c r="D3" s="244" t="s">
        <v>85</v>
      </c>
      <c r="E3" s="245"/>
      <c r="F3" s="242" t="s">
        <v>92</v>
      </c>
      <c r="G3" s="242" t="s">
        <v>93</v>
      </c>
      <c r="H3" s="253" t="s">
        <v>3</v>
      </c>
      <c r="J3" s="242"/>
      <c r="K3" s="61"/>
    </row>
    <row r="4" spans="1:10" ht="23.25" customHeight="1" hidden="1" thickBot="1">
      <c r="A4" s="237"/>
      <c r="B4" s="239"/>
      <c r="C4" s="241"/>
      <c r="D4" s="48" t="s">
        <v>86</v>
      </c>
      <c r="E4" s="74" t="s">
        <v>81</v>
      </c>
      <c r="F4" s="243"/>
      <c r="G4" s="243"/>
      <c r="H4" s="254"/>
      <c r="I4" s="229"/>
      <c r="J4" s="252"/>
    </row>
    <row r="5" spans="1:13" ht="35.25" customHeight="1">
      <c r="A5" s="5" t="s">
        <v>4</v>
      </c>
      <c r="B5" s="6" t="s">
        <v>5</v>
      </c>
      <c r="C5" s="202" t="s">
        <v>6</v>
      </c>
      <c r="D5" s="60">
        <f>D6+D11+D14+D18+D19+D20</f>
        <v>2155504.7199999997</v>
      </c>
      <c r="E5" s="75">
        <f>E6+E11+E14+E18+E19+E20</f>
        <v>1079226.6099999999</v>
      </c>
      <c r="F5" s="60">
        <f>F6+F11+F14+F18+F19+F20</f>
        <v>1798656.14</v>
      </c>
      <c r="G5" s="60">
        <f>G6+G11+G14+G18+G19+G20</f>
        <v>2063112.14</v>
      </c>
      <c r="H5" s="156">
        <f>G5/F5</f>
        <v>1.14702977079321</v>
      </c>
      <c r="I5" s="161"/>
      <c r="J5" s="159"/>
      <c r="L5" s="42"/>
      <c r="M5" s="68"/>
    </row>
    <row r="6" spans="1:12" s="9" customFormat="1" ht="21" customHeight="1">
      <c r="A6" s="8" t="s">
        <v>7</v>
      </c>
      <c r="B6" s="153" t="s">
        <v>8</v>
      </c>
      <c r="C6" s="203" t="s">
        <v>6</v>
      </c>
      <c r="D6" s="41">
        <f>SUM(D7:D9)+D10</f>
        <v>413070.02</v>
      </c>
      <c r="E6" s="76">
        <f>SUM(E7:E9)+E10</f>
        <v>215351.16</v>
      </c>
      <c r="F6" s="41">
        <f>F7+F8+F9+F10</f>
        <v>501755.79</v>
      </c>
      <c r="G6" s="41">
        <f>SUM(G7:G9)+G10</f>
        <v>555908.89</v>
      </c>
      <c r="H6" s="197">
        <f aca="true" t="shared" si="0" ref="H6:H56">G6/F6</f>
        <v>1.1079272049855171</v>
      </c>
      <c r="I6" s="161"/>
      <c r="J6" s="53"/>
      <c r="K6" s="1"/>
      <c r="L6" s="42"/>
    </row>
    <row r="7" spans="1:12" ht="21" customHeight="1">
      <c r="A7" s="10" t="s">
        <v>9</v>
      </c>
      <c r="B7" s="193" t="s">
        <v>10</v>
      </c>
      <c r="C7" s="145" t="s">
        <v>6</v>
      </c>
      <c r="D7" s="66">
        <v>37398.26</v>
      </c>
      <c r="E7" s="81">
        <v>18253</v>
      </c>
      <c r="F7" s="66">
        <f>13644.72+15509.41</f>
        <v>29154.129999999997</v>
      </c>
      <c r="G7" s="198">
        <f>34404.09+2982.32</f>
        <v>37386.409999999996</v>
      </c>
      <c r="H7" s="199">
        <f>G7/F7</f>
        <v>1.2823709711111255</v>
      </c>
      <c r="I7" s="219"/>
      <c r="J7" s="50"/>
      <c r="L7" s="42"/>
    </row>
    <row r="8" spans="1:12" ht="21" customHeight="1">
      <c r="A8" s="10" t="s">
        <v>11</v>
      </c>
      <c r="B8" s="193" t="s">
        <v>12</v>
      </c>
      <c r="C8" s="145" t="s">
        <v>6</v>
      </c>
      <c r="D8" s="66">
        <v>97994.52</v>
      </c>
      <c r="E8" s="81">
        <v>53868.85</v>
      </c>
      <c r="F8" s="66">
        <f>47861.78+48843.18</f>
        <v>96704.95999999999</v>
      </c>
      <c r="G8" s="66">
        <f>97046.07+7735.2</f>
        <v>104781.27</v>
      </c>
      <c r="H8" s="199">
        <f t="shared" si="0"/>
        <v>1.0835149510428421</v>
      </c>
      <c r="I8" s="219"/>
      <c r="J8" s="50"/>
      <c r="L8" s="42"/>
    </row>
    <row r="9" spans="1:12" ht="21" customHeight="1">
      <c r="A9" s="10" t="s">
        <v>13</v>
      </c>
      <c r="B9" s="193" t="s">
        <v>14</v>
      </c>
      <c r="C9" s="145" t="s">
        <v>6</v>
      </c>
      <c r="D9" s="66">
        <v>268282.52</v>
      </c>
      <c r="E9" s="81">
        <v>140591.01</v>
      </c>
      <c r="F9" s="66">
        <f>160192.16+203507.34</f>
        <v>363699.5</v>
      </c>
      <c r="G9" s="66">
        <f>35328.93+365170.26</f>
        <v>400499.19</v>
      </c>
      <c r="H9" s="199">
        <f t="shared" si="0"/>
        <v>1.1011815798481988</v>
      </c>
      <c r="I9" s="219"/>
      <c r="J9" s="50"/>
      <c r="L9" s="42"/>
    </row>
    <row r="10" spans="1:12" ht="21" customHeight="1">
      <c r="A10" s="11" t="s">
        <v>15</v>
      </c>
      <c r="B10" s="193" t="s">
        <v>16</v>
      </c>
      <c r="C10" s="145" t="s">
        <v>6</v>
      </c>
      <c r="D10" s="66">
        <v>9394.72</v>
      </c>
      <c r="E10" s="81">
        <v>2638.3</v>
      </c>
      <c r="F10" s="66">
        <f>6515.43+5681.77</f>
        <v>12197.2</v>
      </c>
      <c r="G10" s="66">
        <f>2121.4+11120.62</f>
        <v>13242.02</v>
      </c>
      <c r="H10" s="199">
        <f t="shared" si="0"/>
        <v>1.08566064342636</v>
      </c>
      <c r="I10" s="219"/>
      <c r="J10" s="54"/>
      <c r="L10" s="42"/>
    </row>
    <row r="11" spans="1:12" s="9" customFormat="1" ht="21" customHeight="1">
      <c r="A11" s="12" t="s">
        <v>17</v>
      </c>
      <c r="B11" s="17" t="s">
        <v>18</v>
      </c>
      <c r="C11" s="203" t="s">
        <v>6</v>
      </c>
      <c r="D11" s="41">
        <f>D12+D13</f>
        <v>627122.2</v>
      </c>
      <c r="E11" s="76">
        <f>E12+E13</f>
        <v>340844.13999999996</v>
      </c>
      <c r="F11" s="41">
        <f>F12+F13</f>
        <v>691044.58</v>
      </c>
      <c r="G11" s="41">
        <f>G12+G13</f>
        <v>759317.58</v>
      </c>
      <c r="H11" s="197">
        <f>G11/F11</f>
        <v>1.098796809896114</v>
      </c>
      <c r="I11" s="161"/>
      <c r="J11" s="55"/>
      <c r="K11" s="1"/>
      <c r="L11" s="42"/>
    </row>
    <row r="12" spans="1:12" ht="21" customHeight="1">
      <c r="A12" s="10" t="s">
        <v>19</v>
      </c>
      <c r="B12" s="194" t="s">
        <v>20</v>
      </c>
      <c r="C12" s="142" t="s">
        <v>6</v>
      </c>
      <c r="D12" s="92">
        <v>571926.73</v>
      </c>
      <c r="E12" s="93">
        <v>308719.54</v>
      </c>
      <c r="F12" s="92">
        <f>282053.68+343500.49</f>
        <v>625554.1699999999</v>
      </c>
      <c r="G12" s="92">
        <f>55806.2+629043.15</f>
        <v>684849.35</v>
      </c>
      <c r="H12" s="200">
        <f t="shared" si="0"/>
        <v>1.0947882419199604</v>
      </c>
      <c r="I12" s="162"/>
      <c r="J12" s="50"/>
      <c r="L12" s="42"/>
    </row>
    <row r="13" spans="1:12" ht="21" customHeight="1">
      <c r="A13" s="11" t="s">
        <v>21</v>
      </c>
      <c r="B13" s="195" t="s">
        <v>22</v>
      </c>
      <c r="C13" s="142" t="s">
        <v>6</v>
      </c>
      <c r="D13" s="92">
        <v>55195.47</v>
      </c>
      <c r="E13" s="93">
        <v>32124.6</v>
      </c>
      <c r="F13" s="92">
        <f>26795.1+38695.31</f>
        <v>65490.409999999996</v>
      </c>
      <c r="G13" s="92">
        <f>6093.43+68374.8</f>
        <v>74468.23000000001</v>
      </c>
      <c r="H13" s="200">
        <f t="shared" si="0"/>
        <v>1.1370860252669057</v>
      </c>
      <c r="I13" s="219"/>
      <c r="J13" s="54"/>
      <c r="L13" s="42"/>
    </row>
    <row r="14" spans="1:12" s="9" customFormat="1" ht="21" customHeight="1">
      <c r="A14" s="13" t="s">
        <v>23</v>
      </c>
      <c r="B14" s="153" t="s">
        <v>24</v>
      </c>
      <c r="C14" s="203" t="s">
        <v>6</v>
      </c>
      <c r="D14" s="41">
        <f>D15+D17</f>
        <v>764942.5</v>
      </c>
      <c r="E14" s="76">
        <f>E15+E17</f>
        <v>304280.44</v>
      </c>
      <c r="F14" s="41">
        <f>F15+F17+F16</f>
        <v>299042.53</v>
      </c>
      <c r="G14" s="41">
        <f>G15+G17</f>
        <v>266521.47</v>
      </c>
      <c r="H14" s="197">
        <f t="shared" si="0"/>
        <v>0.8912493818186996</v>
      </c>
      <c r="I14" s="161"/>
      <c r="J14" s="55"/>
      <c r="K14" s="1"/>
      <c r="L14" s="42"/>
    </row>
    <row r="15" spans="1:12" ht="21" customHeight="1">
      <c r="A15" s="14" t="s">
        <v>25</v>
      </c>
      <c r="B15" s="196" t="s">
        <v>94</v>
      </c>
      <c r="C15" s="145" t="s">
        <v>6</v>
      </c>
      <c r="D15" s="66">
        <v>764933.6</v>
      </c>
      <c r="E15" s="81">
        <v>304275.34</v>
      </c>
      <c r="F15" s="66">
        <v>198690.07</v>
      </c>
      <c r="G15" s="66">
        <f>258125.3-(G29+G30+G39+G40)</f>
        <v>245426.78999999998</v>
      </c>
      <c r="H15" s="199">
        <f t="shared" si="0"/>
        <v>1.2352242364200685</v>
      </c>
      <c r="I15" s="70"/>
      <c r="J15" s="50"/>
      <c r="L15" s="42"/>
    </row>
    <row r="16" spans="1:12" ht="21" customHeight="1">
      <c r="A16" s="14" t="s">
        <v>26</v>
      </c>
      <c r="B16" s="196" t="s">
        <v>95</v>
      </c>
      <c r="C16" s="145" t="s">
        <v>6</v>
      </c>
      <c r="D16" s="66"/>
      <c r="E16" s="81"/>
      <c r="F16" s="66">
        <f>27634.34+62170.78</f>
        <v>89805.12</v>
      </c>
      <c r="G16" s="66">
        <f>29158.01+62170.78</f>
        <v>91328.79</v>
      </c>
      <c r="H16" s="199">
        <f t="shared" si="0"/>
        <v>1.016966404588068</v>
      </c>
      <c r="I16" s="70"/>
      <c r="J16" s="50"/>
      <c r="L16" s="42"/>
    </row>
    <row r="17" spans="1:12" ht="21" customHeight="1">
      <c r="A17" s="14" t="s">
        <v>97</v>
      </c>
      <c r="B17" s="196" t="s">
        <v>96</v>
      </c>
      <c r="C17" s="145" t="s">
        <v>6</v>
      </c>
      <c r="D17" s="66">
        <v>8.9</v>
      </c>
      <c r="E17" s="81">
        <v>5.1</v>
      </c>
      <c r="F17" s="66">
        <v>10547.34</v>
      </c>
      <c r="G17" s="66">
        <v>21094.68</v>
      </c>
      <c r="H17" s="199">
        <f t="shared" si="0"/>
        <v>2</v>
      </c>
      <c r="I17" s="70"/>
      <c r="J17" s="50"/>
      <c r="L17" s="42"/>
    </row>
    <row r="18" spans="1:12" s="9" customFormat="1" ht="52.5" customHeight="1">
      <c r="A18" s="8" t="s">
        <v>27</v>
      </c>
      <c r="B18" s="15" t="s">
        <v>28</v>
      </c>
      <c r="C18" s="204" t="s">
        <v>6</v>
      </c>
      <c r="D18" s="41">
        <v>166570</v>
      </c>
      <c r="E18" s="76">
        <v>121827.1</v>
      </c>
      <c r="F18" s="41">
        <f>76087.45+26949.38</f>
        <v>103036.83</v>
      </c>
      <c r="G18" s="41">
        <f>201644.28+24347.49</f>
        <v>225991.77</v>
      </c>
      <c r="H18" s="158">
        <f t="shared" si="0"/>
        <v>2.1933105861273097</v>
      </c>
      <c r="I18" s="161"/>
      <c r="J18" s="160"/>
      <c r="K18" s="1"/>
      <c r="L18" s="42"/>
    </row>
    <row r="19" spans="1:12" s="9" customFormat="1" ht="45.75" customHeight="1">
      <c r="A19" s="16" t="s">
        <v>29</v>
      </c>
      <c r="B19" s="17" t="s">
        <v>30</v>
      </c>
      <c r="C19" s="204" t="s">
        <v>6</v>
      </c>
      <c r="D19" s="41">
        <v>32712.5</v>
      </c>
      <c r="E19" s="76">
        <v>19409</v>
      </c>
      <c r="F19" s="41">
        <f>10695.67+14379.05</f>
        <v>25074.72</v>
      </c>
      <c r="G19" s="41">
        <f>30393.81+3664.09</f>
        <v>34057.9</v>
      </c>
      <c r="H19" s="158">
        <f t="shared" si="0"/>
        <v>1.358256443142735</v>
      </c>
      <c r="I19" s="161"/>
      <c r="J19" s="160"/>
      <c r="K19" s="1"/>
      <c r="L19" s="42"/>
    </row>
    <row r="20" spans="1:12" s="9" customFormat="1" ht="21" customHeight="1" thickBot="1">
      <c r="A20" s="18" t="s">
        <v>31</v>
      </c>
      <c r="B20" s="19" t="s">
        <v>32</v>
      </c>
      <c r="C20" s="205" t="s">
        <v>6</v>
      </c>
      <c r="D20" s="67">
        <v>151087.5</v>
      </c>
      <c r="E20" s="77">
        <v>77514.77</v>
      </c>
      <c r="F20" s="65">
        <f>84322.59+94379.1</f>
        <v>178701.69</v>
      </c>
      <c r="G20" s="67">
        <f>201401.1+19913.43</f>
        <v>221314.53</v>
      </c>
      <c r="H20" s="164">
        <f t="shared" si="0"/>
        <v>1.238457957504487</v>
      </c>
      <c r="I20" s="161"/>
      <c r="J20" s="173"/>
      <c r="K20" s="1"/>
      <c r="L20" s="42"/>
    </row>
    <row r="21" spans="1:12" ht="21" customHeight="1" thickBot="1">
      <c r="A21" s="20" t="s">
        <v>33</v>
      </c>
      <c r="B21" s="21" t="s">
        <v>34</v>
      </c>
      <c r="C21" s="206" t="s">
        <v>6</v>
      </c>
      <c r="D21" s="59">
        <f>D22+D36</f>
        <v>205460.82</v>
      </c>
      <c r="E21" s="78">
        <f>E22+E36</f>
        <v>112760.67000000001</v>
      </c>
      <c r="F21" s="59">
        <f>F22+F36</f>
        <v>313289.95</v>
      </c>
      <c r="G21" s="59">
        <f>G22+G36</f>
        <v>340154.39</v>
      </c>
      <c r="H21" s="165">
        <f t="shared" si="0"/>
        <v>1.0857494471175984</v>
      </c>
      <c r="I21" s="161"/>
      <c r="J21" s="174"/>
      <c r="L21" s="42"/>
    </row>
    <row r="22" spans="1:12" s="9" customFormat="1" ht="33" customHeight="1">
      <c r="A22" s="23" t="s">
        <v>35</v>
      </c>
      <c r="B22" s="24" t="s">
        <v>36</v>
      </c>
      <c r="C22" s="207" t="s">
        <v>6</v>
      </c>
      <c r="D22" s="58">
        <f>D23+SUM(D26:D35)</f>
        <v>115262.35</v>
      </c>
      <c r="E22" s="79">
        <f>E23+SUM(E26:E35)</f>
        <v>56688.369999999995</v>
      </c>
      <c r="F22" s="58">
        <f>F23+SUM(F26:F35)</f>
        <v>237900.16</v>
      </c>
      <c r="G22" s="58">
        <f>G23+G26+G27+G28+G29+G30+G31+G32+G33+G35</f>
        <v>247815.37999999998</v>
      </c>
      <c r="H22" s="166">
        <f t="shared" si="0"/>
        <v>1.0416780720113847</v>
      </c>
      <c r="I22" s="161"/>
      <c r="J22" s="175"/>
      <c r="K22" s="1"/>
      <c r="L22" s="42"/>
    </row>
    <row r="23" spans="1:12" s="9" customFormat="1" ht="21" customHeight="1">
      <c r="A23" s="90" t="s">
        <v>37</v>
      </c>
      <c r="B23" s="91" t="s">
        <v>38</v>
      </c>
      <c r="C23" s="142" t="s">
        <v>6</v>
      </c>
      <c r="D23" s="92">
        <f>D24+D25</f>
        <v>43866.49</v>
      </c>
      <c r="E23" s="92">
        <f>E24+E25</f>
        <v>24294.4</v>
      </c>
      <c r="F23" s="92">
        <f>F24+F25</f>
        <v>51757.16</v>
      </c>
      <c r="G23" s="92">
        <f>G24+G25</f>
        <v>64145.18</v>
      </c>
      <c r="H23" s="167">
        <f t="shared" si="0"/>
        <v>1.23934891327113</v>
      </c>
      <c r="I23" s="163"/>
      <c r="J23" s="176"/>
      <c r="K23" s="1"/>
      <c r="L23" s="42"/>
    </row>
    <row r="24" spans="1:12" s="25" customFormat="1" ht="30" customHeight="1">
      <c r="A24" s="155" t="s">
        <v>100</v>
      </c>
      <c r="B24" s="226" t="s">
        <v>117</v>
      </c>
      <c r="C24" s="143" t="s">
        <v>6</v>
      </c>
      <c r="D24" s="92">
        <v>40012.88</v>
      </c>
      <c r="E24" s="93">
        <v>22128.5</v>
      </c>
      <c r="F24" s="92">
        <f>23299.86+23439.11</f>
        <v>46738.97</v>
      </c>
      <c r="G24" s="92">
        <f>52955.46+4745.72</f>
        <v>57701.18</v>
      </c>
      <c r="H24" s="167">
        <f t="shared" si="0"/>
        <v>1.2345411120527474</v>
      </c>
      <c r="I24" s="186"/>
      <c r="J24" s="177"/>
      <c r="K24" s="1"/>
      <c r="L24" s="42"/>
    </row>
    <row r="25" spans="1:12" s="25" customFormat="1" ht="21" customHeight="1">
      <c r="A25" s="155" t="s">
        <v>101</v>
      </c>
      <c r="B25" s="227" t="s">
        <v>22</v>
      </c>
      <c r="C25" s="143" t="s">
        <v>6</v>
      </c>
      <c r="D25" s="87">
        <v>3853.61</v>
      </c>
      <c r="E25" s="94">
        <v>2165.9</v>
      </c>
      <c r="F25" s="92">
        <f>2377.77+2640.42</f>
        <v>5018.1900000000005</v>
      </c>
      <c r="G25" s="87">
        <f>5908.31+535.69</f>
        <v>6444</v>
      </c>
      <c r="H25" s="157">
        <f t="shared" si="0"/>
        <v>1.2841283410950959</v>
      </c>
      <c r="I25" s="186"/>
      <c r="J25" s="178"/>
      <c r="K25" s="1"/>
      <c r="L25" s="42"/>
    </row>
    <row r="26" spans="1:12" ht="21" customHeight="1">
      <c r="A26" s="26" t="s">
        <v>39</v>
      </c>
      <c r="B26" s="27" t="s">
        <v>40</v>
      </c>
      <c r="C26" s="144" t="s">
        <v>6</v>
      </c>
      <c r="D26" s="69">
        <v>30603.4</v>
      </c>
      <c r="E26" s="82">
        <v>16682.1</v>
      </c>
      <c r="F26" s="66">
        <f>23097.68+16912.14</f>
        <v>40009.82</v>
      </c>
      <c r="G26" s="69">
        <f>45369.59+10749.66</f>
        <v>56119.25</v>
      </c>
      <c r="H26" s="168">
        <f t="shared" si="0"/>
        <v>1.4026369026404018</v>
      </c>
      <c r="I26" s="219"/>
      <c r="J26" s="179"/>
      <c r="L26" s="42"/>
    </row>
    <row r="27" spans="1:12" ht="24.75" customHeight="1">
      <c r="A27" s="28" t="s">
        <v>41</v>
      </c>
      <c r="B27" s="29" t="s">
        <v>98</v>
      </c>
      <c r="C27" s="145" t="s">
        <v>6</v>
      </c>
      <c r="D27" s="73">
        <v>315.1</v>
      </c>
      <c r="E27" s="83">
        <v>35.65</v>
      </c>
      <c r="F27" s="66">
        <f>29057.38+84021.52</f>
        <v>113078.90000000001</v>
      </c>
      <c r="G27" s="73">
        <f>29487.37+76178.54</f>
        <v>105665.90999999999</v>
      </c>
      <c r="H27" s="169">
        <f t="shared" si="0"/>
        <v>0.9344440916917301</v>
      </c>
      <c r="I27" s="231"/>
      <c r="J27" s="180"/>
      <c r="L27" s="42"/>
    </row>
    <row r="28" spans="1:12" ht="21" customHeight="1">
      <c r="A28" s="30" t="s">
        <v>42</v>
      </c>
      <c r="B28" s="29" t="s">
        <v>99</v>
      </c>
      <c r="C28" s="145" t="s">
        <v>6</v>
      </c>
      <c r="D28" s="73">
        <v>5753.5</v>
      </c>
      <c r="E28" s="73">
        <v>2954.53</v>
      </c>
      <c r="F28" s="66">
        <v>214.21</v>
      </c>
      <c r="G28" s="73">
        <v>235.9</v>
      </c>
      <c r="H28" s="169">
        <f t="shared" si="0"/>
        <v>1.1012557770412212</v>
      </c>
      <c r="I28" s="219"/>
      <c r="J28" s="181"/>
      <c r="L28" s="42"/>
    </row>
    <row r="29" spans="1:12" ht="21" customHeight="1">
      <c r="A29" s="32" t="s">
        <v>43</v>
      </c>
      <c r="B29" s="31" t="s">
        <v>44</v>
      </c>
      <c r="C29" s="145" t="s">
        <v>6</v>
      </c>
      <c r="D29" s="66">
        <v>11367.3</v>
      </c>
      <c r="E29" s="81">
        <v>563.1</v>
      </c>
      <c r="F29" s="66">
        <f>10251.31</f>
        <v>10251.31</v>
      </c>
      <c r="G29" s="66">
        <f>9656.67+882.33</f>
        <v>10539</v>
      </c>
      <c r="H29" s="169">
        <f t="shared" si="0"/>
        <v>1.0280637303915305</v>
      </c>
      <c r="I29" s="219"/>
      <c r="J29" s="182"/>
      <c r="L29" s="42"/>
    </row>
    <row r="30" spans="1:12" ht="21" customHeight="1">
      <c r="A30" s="32" t="s">
        <v>45</v>
      </c>
      <c r="B30" s="31" t="s">
        <v>46</v>
      </c>
      <c r="C30" s="145" t="s">
        <v>6</v>
      </c>
      <c r="D30" s="66">
        <v>437.1</v>
      </c>
      <c r="E30" s="80">
        <v>254.95</v>
      </c>
      <c r="F30" s="66">
        <f>509.48</f>
        <v>509.48</v>
      </c>
      <c r="G30" s="66">
        <f>977.34+88.85</f>
        <v>1066.19</v>
      </c>
      <c r="H30" s="169">
        <f t="shared" si="0"/>
        <v>2.092702363193845</v>
      </c>
      <c r="I30" s="219"/>
      <c r="J30" s="182"/>
      <c r="L30" s="42"/>
    </row>
    <row r="31" spans="1:12" ht="21" customHeight="1">
      <c r="A31" s="32" t="s">
        <v>47</v>
      </c>
      <c r="B31" s="31" t="s">
        <v>48</v>
      </c>
      <c r="C31" s="145" t="s">
        <v>6</v>
      </c>
      <c r="D31" s="66">
        <v>244.92</v>
      </c>
      <c r="E31" s="81">
        <v>94.1</v>
      </c>
      <c r="F31" s="66">
        <f>82.08+103.66</f>
        <v>185.74</v>
      </c>
      <c r="G31" s="66">
        <f>171.89+16.55</f>
        <v>188.44</v>
      </c>
      <c r="H31" s="170">
        <f t="shared" si="0"/>
        <v>1.0145364487993969</v>
      </c>
      <c r="I31" s="219"/>
      <c r="J31" s="182"/>
      <c r="L31" s="42"/>
    </row>
    <row r="32" spans="1:12" ht="21" customHeight="1">
      <c r="A32" s="32" t="s">
        <v>49</v>
      </c>
      <c r="B32" s="31" t="s">
        <v>50</v>
      </c>
      <c r="C32" s="145" t="s">
        <v>6</v>
      </c>
      <c r="D32" s="66">
        <v>522.8</v>
      </c>
      <c r="E32" s="81">
        <v>150.5</v>
      </c>
      <c r="F32" s="66">
        <f>367.21+156.3</f>
        <v>523.51</v>
      </c>
      <c r="G32" s="66">
        <f>607.39+114.6</f>
        <v>721.99</v>
      </c>
      <c r="H32" s="170">
        <f t="shared" si="0"/>
        <v>1.3791331588699356</v>
      </c>
      <c r="I32" s="219"/>
      <c r="J32" s="182"/>
      <c r="L32" s="42"/>
    </row>
    <row r="33" spans="1:12" ht="21" customHeight="1">
      <c r="A33" s="32" t="s">
        <v>51</v>
      </c>
      <c r="B33" s="140" t="s">
        <v>90</v>
      </c>
      <c r="C33" s="145" t="s">
        <v>6</v>
      </c>
      <c r="D33" s="66">
        <v>2836.94</v>
      </c>
      <c r="E33" s="81">
        <v>1485.8</v>
      </c>
      <c r="F33" s="66">
        <f>241.55+1178.73</f>
        <v>1420.28</v>
      </c>
      <c r="G33" s="66">
        <f>1533.21+123.18</f>
        <v>1656.39</v>
      </c>
      <c r="H33" s="170">
        <f t="shared" si="0"/>
        <v>1.1662418678007154</v>
      </c>
      <c r="I33" s="219"/>
      <c r="J33" s="182"/>
      <c r="L33" s="42"/>
    </row>
    <row r="34" spans="1:12" ht="21" customHeight="1">
      <c r="A34" s="32" t="s">
        <v>52</v>
      </c>
      <c r="B34" s="27" t="s">
        <v>110</v>
      </c>
      <c r="C34" s="145" t="s">
        <v>6</v>
      </c>
      <c r="D34" s="69"/>
      <c r="E34" s="82"/>
      <c r="F34" s="69">
        <f>1547.51+2344.5</f>
        <v>3892.01</v>
      </c>
      <c r="G34" s="69">
        <f>5038.19+450.05</f>
        <v>5488.24</v>
      </c>
      <c r="H34" s="170">
        <f t="shared" si="0"/>
        <v>1.4101299842497834</v>
      </c>
      <c r="I34" s="219"/>
      <c r="J34" s="183"/>
      <c r="L34" s="42"/>
    </row>
    <row r="35" spans="1:12" s="33" customFormat="1" ht="21" customHeight="1" thickBot="1">
      <c r="A35" s="32" t="s">
        <v>102</v>
      </c>
      <c r="B35" s="95" t="s">
        <v>53</v>
      </c>
      <c r="C35" s="146" t="s">
        <v>6</v>
      </c>
      <c r="D35" s="96">
        <v>19314.8</v>
      </c>
      <c r="E35" s="97">
        <v>10173.24</v>
      </c>
      <c r="F35" s="98">
        <v>16057.74</v>
      </c>
      <c r="G35" s="96">
        <f>(709.82+259.43+1261.4+87.11+195+4632.23)+(18.49+7.05+91.36+13.63+201.61)</f>
        <v>7477.13</v>
      </c>
      <c r="H35" s="171">
        <f t="shared" si="0"/>
        <v>0.4656402457631024</v>
      </c>
      <c r="I35" s="219"/>
      <c r="J35" s="184"/>
      <c r="K35" s="1"/>
      <c r="L35" s="42"/>
    </row>
    <row r="36" spans="1:13" s="34" customFormat="1" ht="26.25" customHeight="1">
      <c r="A36" s="5">
        <v>8</v>
      </c>
      <c r="B36" s="6" t="s">
        <v>54</v>
      </c>
      <c r="C36" s="147" t="s">
        <v>6</v>
      </c>
      <c r="D36" s="64">
        <f>SUM(D37:D44)</f>
        <v>90198.46999999999</v>
      </c>
      <c r="E36" s="84">
        <f>SUM(E37:E44)</f>
        <v>56072.30000000001</v>
      </c>
      <c r="F36" s="64">
        <f>SUM(F37:F45)</f>
        <v>75389.79000000001</v>
      </c>
      <c r="G36" s="64">
        <f>SUM(G37:G45)</f>
        <v>92339.01000000001</v>
      </c>
      <c r="H36" s="172">
        <f t="shared" si="0"/>
        <v>1.2248211594700025</v>
      </c>
      <c r="I36" s="187"/>
      <c r="J36" s="185"/>
      <c r="K36" s="1"/>
      <c r="L36" s="42"/>
      <c r="M36" s="192"/>
    </row>
    <row r="37" spans="1:14" ht="21" customHeight="1">
      <c r="A37" s="99" t="s">
        <v>55</v>
      </c>
      <c r="B37" s="100" t="s">
        <v>112</v>
      </c>
      <c r="C37" s="142" t="s">
        <v>6</v>
      </c>
      <c r="D37" s="92">
        <v>75820.92</v>
      </c>
      <c r="E37" s="93">
        <v>47316</v>
      </c>
      <c r="F37" s="92">
        <f>29146.17+28509.91</f>
        <v>57656.08</v>
      </c>
      <c r="G37" s="92">
        <f>56834.66+5056.22</f>
        <v>61890.880000000005</v>
      </c>
      <c r="H37" s="101">
        <f t="shared" si="0"/>
        <v>1.0734493222570802</v>
      </c>
      <c r="I37" s="230"/>
      <c r="J37" s="52"/>
      <c r="L37" s="42"/>
      <c r="N37" s="68"/>
    </row>
    <row r="38" spans="1:12" ht="21" customHeight="1">
      <c r="A38" s="99" t="s">
        <v>56</v>
      </c>
      <c r="B38" s="102" t="s">
        <v>113</v>
      </c>
      <c r="C38" s="142" t="s">
        <v>6</v>
      </c>
      <c r="D38" s="92">
        <v>7272.17</v>
      </c>
      <c r="E38" s="93">
        <v>4674.4</v>
      </c>
      <c r="F38" s="92">
        <f>2768.89+3211.65</f>
        <v>5980.54</v>
      </c>
      <c r="G38" s="92">
        <f>6336.92+561.44</f>
        <v>6898.360000000001</v>
      </c>
      <c r="H38" s="89">
        <f t="shared" si="0"/>
        <v>1.1534677470596302</v>
      </c>
      <c r="J38" s="52"/>
      <c r="L38" s="42"/>
    </row>
    <row r="39" spans="1:12" ht="21" customHeight="1">
      <c r="A39" s="99" t="s">
        <v>57</v>
      </c>
      <c r="B39" s="102" t="s">
        <v>114</v>
      </c>
      <c r="C39" s="142" t="s">
        <v>6</v>
      </c>
      <c r="D39" s="92">
        <v>1567.4</v>
      </c>
      <c r="E39" s="92">
        <v>1041.66</v>
      </c>
      <c r="F39" s="92">
        <f>610.51</f>
        <v>610.51</v>
      </c>
      <c r="G39" s="92">
        <f>993.75+84.95</f>
        <v>1078.7</v>
      </c>
      <c r="H39" s="89">
        <f t="shared" si="0"/>
        <v>1.7668834253329184</v>
      </c>
      <c r="J39" s="52"/>
      <c r="L39" s="42"/>
    </row>
    <row r="40" spans="1:12" ht="21" customHeight="1">
      <c r="A40" s="99" t="s">
        <v>58</v>
      </c>
      <c r="B40" s="102" t="s">
        <v>46</v>
      </c>
      <c r="C40" s="142" t="s">
        <v>6</v>
      </c>
      <c r="D40" s="103">
        <v>22</v>
      </c>
      <c r="E40" s="104">
        <v>12.74</v>
      </c>
      <c r="F40" s="92">
        <f>10.05</f>
        <v>10.05</v>
      </c>
      <c r="G40" s="103">
        <f>14.62</f>
        <v>14.62</v>
      </c>
      <c r="H40" s="89">
        <f t="shared" si="0"/>
        <v>1.4547263681592038</v>
      </c>
      <c r="J40" s="51"/>
      <c r="L40" s="42"/>
    </row>
    <row r="41" spans="1:12" ht="21" customHeight="1">
      <c r="A41" s="99" t="s">
        <v>59</v>
      </c>
      <c r="B41" s="102" t="s">
        <v>48</v>
      </c>
      <c r="C41" s="142" t="s">
        <v>6</v>
      </c>
      <c r="D41" s="92">
        <v>312.29</v>
      </c>
      <c r="E41" s="93">
        <v>138.05</v>
      </c>
      <c r="F41" s="92">
        <f>170.86+177.82</f>
        <v>348.68</v>
      </c>
      <c r="G41" s="92">
        <f>303.71+26.5</f>
        <v>330.21</v>
      </c>
      <c r="H41" s="101">
        <f t="shared" si="0"/>
        <v>0.947028794309969</v>
      </c>
      <c r="J41" s="35"/>
      <c r="L41" s="42"/>
    </row>
    <row r="42" spans="1:12" ht="21" customHeight="1">
      <c r="A42" s="99" t="s">
        <v>60</v>
      </c>
      <c r="B42" s="102" t="s">
        <v>50</v>
      </c>
      <c r="C42" s="142" t="s">
        <v>6</v>
      </c>
      <c r="D42" s="92">
        <v>426.75</v>
      </c>
      <c r="E42" s="93">
        <v>140.85</v>
      </c>
      <c r="F42" s="92">
        <f>242.51+156.3</f>
        <v>398.81</v>
      </c>
      <c r="G42" s="92">
        <f>437.67+64.71</f>
        <v>502.38</v>
      </c>
      <c r="H42" s="101">
        <f t="shared" si="0"/>
        <v>1.2596976003610743</v>
      </c>
      <c r="J42" s="35"/>
      <c r="L42" s="42"/>
    </row>
    <row r="43" spans="1:12" ht="21" customHeight="1">
      <c r="A43" s="99" t="s">
        <v>61</v>
      </c>
      <c r="B43" s="102" t="s">
        <v>115</v>
      </c>
      <c r="C43" s="142" t="s">
        <v>6</v>
      </c>
      <c r="D43" s="92">
        <v>2273.84</v>
      </c>
      <c r="E43" s="93">
        <v>1291.55</v>
      </c>
      <c r="F43" s="92">
        <f>555.73+1109.32</f>
        <v>1665.05</v>
      </c>
      <c r="G43" s="92">
        <f>939.3+26.85</f>
        <v>966.15</v>
      </c>
      <c r="H43" s="101">
        <f t="shared" si="0"/>
        <v>0.5802528452599021</v>
      </c>
      <c r="J43" s="35"/>
      <c r="L43" s="42"/>
    </row>
    <row r="44" spans="1:13" ht="24" customHeight="1">
      <c r="A44" s="221" t="s">
        <v>62</v>
      </c>
      <c r="B44" s="222" t="s">
        <v>116</v>
      </c>
      <c r="C44" s="146" t="s">
        <v>6</v>
      </c>
      <c r="D44" s="96">
        <v>2503.1</v>
      </c>
      <c r="E44" s="96">
        <v>1457.05</v>
      </c>
      <c r="F44" s="223">
        <v>2918.86</v>
      </c>
      <c r="G44" s="232">
        <f>((20223.36-(16790.47-14.62)+(2125.27-1705.54)))</f>
        <v>3867.2399999999984</v>
      </c>
      <c r="H44" s="224">
        <f t="shared" si="0"/>
        <v>1.3249145214227467</v>
      </c>
      <c r="I44" s="230"/>
      <c r="J44" s="213"/>
      <c r="L44" s="42"/>
      <c r="M44" s="234"/>
    </row>
    <row r="45" spans="1:13" ht="30" customHeight="1" thickBot="1">
      <c r="A45" s="105" t="s">
        <v>118</v>
      </c>
      <c r="B45" s="225" t="s">
        <v>111</v>
      </c>
      <c r="C45" s="148" t="s">
        <v>6</v>
      </c>
      <c r="D45" s="106"/>
      <c r="E45" s="106"/>
      <c r="F45" s="98">
        <f>277.5+5523.71</f>
        <v>5801.21</v>
      </c>
      <c r="G45" s="106">
        <f>16790.47</f>
        <v>16790.47</v>
      </c>
      <c r="H45" s="224">
        <f t="shared" si="0"/>
        <v>2.894304808824366</v>
      </c>
      <c r="J45" s="220"/>
      <c r="L45" s="42"/>
      <c r="M45" s="234"/>
    </row>
    <row r="46" spans="1:14" ht="27.75" customHeight="1" thickBot="1">
      <c r="A46" s="107" t="s">
        <v>63</v>
      </c>
      <c r="B46" s="108" t="s">
        <v>64</v>
      </c>
      <c r="C46" s="149" t="s">
        <v>6</v>
      </c>
      <c r="D46" s="109">
        <f>D5+D21</f>
        <v>2360965.5399999996</v>
      </c>
      <c r="E46" s="109">
        <v>1262211.94</v>
      </c>
      <c r="F46" s="109">
        <f>F5+F21</f>
        <v>2111946.09</v>
      </c>
      <c r="G46" s="109">
        <f>G5+G21</f>
        <v>2403266.53</v>
      </c>
      <c r="H46" s="110">
        <f t="shared" si="0"/>
        <v>1.1379393353738494</v>
      </c>
      <c r="I46" s="188"/>
      <c r="J46" s="192"/>
      <c r="K46" s="192"/>
      <c r="L46" s="192"/>
      <c r="M46" s="192"/>
      <c r="N46" s="68"/>
    </row>
    <row r="47" spans="1:12" s="34" customFormat="1" ht="21" customHeight="1" thickBot="1">
      <c r="A47" s="107" t="s">
        <v>65</v>
      </c>
      <c r="B47" s="111" t="s">
        <v>103</v>
      </c>
      <c r="C47" s="149" t="s">
        <v>6</v>
      </c>
      <c r="D47" s="109">
        <f>(D48-D46)-(D48-D46)*0.2</f>
        <v>108381.00800000019</v>
      </c>
      <c r="E47" s="109">
        <f>(E48-E46)-(E48-E46)*0.2</f>
        <v>174386.2880000001</v>
      </c>
      <c r="F47" s="109">
        <f>F48-F46</f>
        <v>-435.18999999947846</v>
      </c>
      <c r="G47" s="109">
        <f>G48-G46</f>
        <v>-180385.63999999966</v>
      </c>
      <c r="H47" s="233">
        <f>H48-H46</f>
        <v>-0.08519511795114987</v>
      </c>
      <c r="I47" s="215"/>
      <c r="J47" s="214"/>
      <c r="K47" s="1"/>
      <c r="L47" s="42"/>
    </row>
    <row r="48" spans="1:13" ht="21" customHeight="1" thickBot="1">
      <c r="A48" s="107" t="s">
        <v>66</v>
      </c>
      <c r="B48" s="111" t="s">
        <v>67</v>
      </c>
      <c r="C48" s="149" t="s">
        <v>6</v>
      </c>
      <c r="D48" s="109">
        <v>2496441.8</v>
      </c>
      <c r="E48" s="112">
        <v>1480194.8</v>
      </c>
      <c r="F48" s="109">
        <f>((23096*74.36)+(24916.5*100.56))/2</f>
        <v>2111510.9000000004</v>
      </c>
      <c r="G48" s="109">
        <f>2019494.33+203386.56</f>
        <v>2222880.89</v>
      </c>
      <c r="H48" s="110">
        <f t="shared" si="0"/>
        <v>1.0527442174226995</v>
      </c>
      <c r="I48" s="188"/>
      <c r="J48" s="22"/>
      <c r="L48" s="42"/>
      <c r="M48" s="68"/>
    </row>
    <row r="49" spans="1:12" s="34" customFormat="1" ht="21" customHeight="1">
      <c r="A49" s="113" t="s">
        <v>68</v>
      </c>
      <c r="B49" s="114" t="s">
        <v>69</v>
      </c>
      <c r="C49" s="150" t="s">
        <v>70</v>
      </c>
      <c r="D49" s="115">
        <f>SUM(D50:D53)</f>
        <v>26241.6</v>
      </c>
      <c r="E49" s="116">
        <f>SUM(E50:E53)</f>
        <v>16079.1</v>
      </c>
      <c r="F49" s="117">
        <f>SUM(F50:F53)</f>
        <v>24916.5</v>
      </c>
      <c r="G49" s="117">
        <f>SUM(G50:G53)</f>
        <v>25131.29</v>
      </c>
      <c r="H49" s="118">
        <f t="shared" si="0"/>
        <v>1.0086203921096462</v>
      </c>
      <c r="I49" s="154"/>
      <c r="J49" s="56"/>
      <c r="K49" s="1"/>
      <c r="L49" s="42"/>
    </row>
    <row r="50" spans="1:12" s="34" customFormat="1" ht="14.25" customHeight="1">
      <c r="A50" s="119"/>
      <c r="B50" s="120" t="s">
        <v>71</v>
      </c>
      <c r="C50" s="246" t="s">
        <v>70</v>
      </c>
      <c r="D50" s="86">
        <v>15499.5</v>
      </c>
      <c r="E50" s="121">
        <v>9724.3</v>
      </c>
      <c r="F50" s="247">
        <v>19879.86</v>
      </c>
      <c r="G50" s="85">
        <f>13292.92+1051.4</f>
        <v>14344.32</v>
      </c>
      <c r="H50" s="255">
        <f>(G50+G51)/F50</f>
        <v>1.0083245053033572</v>
      </c>
      <c r="I50" s="154"/>
      <c r="J50" s="57"/>
      <c r="K50" s="1"/>
      <c r="L50" s="42"/>
    </row>
    <row r="51" spans="1:12" s="34" customFormat="1" ht="44.25" customHeight="1">
      <c r="A51" s="119"/>
      <c r="B51" s="123" t="s">
        <v>72</v>
      </c>
      <c r="C51" s="246"/>
      <c r="D51" s="86">
        <v>5616.3</v>
      </c>
      <c r="E51" s="121">
        <v>3270.1</v>
      </c>
      <c r="F51" s="247"/>
      <c r="G51" s="218">
        <f>5121.83+579.2</f>
        <v>5701.03</v>
      </c>
      <c r="H51" s="255"/>
      <c r="I51" s="154"/>
      <c r="J51" s="57"/>
      <c r="K51" s="1"/>
      <c r="L51" s="42"/>
    </row>
    <row r="52" spans="1:12" s="34" customFormat="1" ht="27.75" customHeight="1">
      <c r="A52" s="119"/>
      <c r="B52" s="123" t="s">
        <v>104</v>
      </c>
      <c r="C52" s="151" t="s">
        <v>70</v>
      </c>
      <c r="D52" s="86"/>
      <c r="E52" s="121"/>
      <c r="F52" s="86">
        <v>772.15</v>
      </c>
      <c r="G52" s="85">
        <f>802.05+67.22</f>
        <v>869.27</v>
      </c>
      <c r="H52" s="122">
        <f>G52/F52</f>
        <v>1.1257786699475492</v>
      </c>
      <c r="I52" s="154"/>
      <c r="J52" s="57"/>
      <c r="K52" s="1"/>
      <c r="L52" s="42"/>
    </row>
    <row r="53" spans="1:12" s="34" customFormat="1" ht="17.25" customHeight="1" thickBot="1">
      <c r="A53" s="119"/>
      <c r="B53" s="124" t="s">
        <v>73</v>
      </c>
      <c r="C53" s="151" t="s">
        <v>70</v>
      </c>
      <c r="D53" s="87">
        <v>5125.8</v>
      </c>
      <c r="E53" s="88">
        <f>2515.3+569.4</f>
        <v>3084.7000000000003</v>
      </c>
      <c r="F53" s="125">
        <v>4264.49</v>
      </c>
      <c r="G53" s="85">
        <f>3900.68+315.99</f>
        <v>4216.67</v>
      </c>
      <c r="H53" s="122">
        <f t="shared" si="0"/>
        <v>0.9887864668459769</v>
      </c>
      <c r="I53" s="154"/>
      <c r="J53" s="57"/>
      <c r="K53" s="1"/>
      <c r="L53" s="42"/>
    </row>
    <row r="54" spans="1:12" s="34" customFormat="1" ht="21" customHeight="1">
      <c r="A54" s="5" t="s">
        <v>74</v>
      </c>
      <c r="B54" s="126" t="s">
        <v>75</v>
      </c>
      <c r="C54" s="147" t="s">
        <v>76</v>
      </c>
      <c r="D54" s="60">
        <v>17.7</v>
      </c>
      <c r="E54" s="7">
        <v>19</v>
      </c>
      <c r="F54" s="65">
        <v>17.06</v>
      </c>
      <c r="G54" s="60">
        <v>17.05</v>
      </c>
      <c r="H54" s="62">
        <f t="shared" si="0"/>
        <v>0.9994138335287223</v>
      </c>
      <c r="I54" s="154"/>
      <c r="J54" s="7"/>
      <c r="K54" s="1"/>
      <c r="L54" s="42"/>
    </row>
    <row r="55" spans="1:12" s="33" customFormat="1" ht="21" customHeight="1" thickBot="1">
      <c r="A55" s="127"/>
      <c r="B55" s="128" t="s">
        <v>77</v>
      </c>
      <c r="C55" s="152" t="s">
        <v>70</v>
      </c>
      <c r="D55" s="71">
        <v>6227.8</v>
      </c>
      <c r="E55" s="129">
        <v>4018.4</v>
      </c>
      <c r="F55" s="71">
        <v>6301.61</v>
      </c>
      <c r="G55" s="71">
        <v>6281.47</v>
      </c>
      <c r="H55" s="72">
        <f t="shared" si="0"/>
        <v>0.996803991360938</v>
      </c>
      <c r="I55" s="228"/>
      <c r="J55" s="36"/>
      <c r="K55" s="1"/>
      <c r="L55" s="42"/>
    </row>
    <row r="56" spans="1:12" ht="21" customHeight="1" thickBot="1">
      <c r="A56" s="20" t="s">
        <v>78</v>
      </c>
      <c r="B56" s="21" t="s">
        <v>109</v>
      </c>
      <c r="C56" s="141" t="s">
        <v>79</v>
      </c>
      <c r="D56" s="59">
        <f>D48/D49</f>
        <v>95.13298731784647</v>
      </c>
      <c r="E56" s="59">
        <f>E48/E49</f>
        <v>92.05706787071416</v>
      </c>
      <c r="F56" s="59">
        <f>F48/F49</f>
        <v>84.74347922059681</v>
      </c>
      <c r="G56" s="59">
        <f>G48/G49</f>
        <v>88.45072775810553</v>
      </c>
      <c r="H56" s="63">
        <f t="shared" si="0"/>
        <v>1.0437467115063606</v>
      </c>
      <c r="J56" s="58"/>
      <c r="L56" s="42"/>
    </row>
    <row r="57" spans="1:8" ht="49.5" customHeight="1" hidden="1">
      <c r="A57" s="130"/>
      <c r="B57" s="131" t="s">
        <v>71</v>
      </c>
      <c r="C57" s="208" t="s">
        <v>79</v>
      </c>
      <c r="D57" s="217" t="s">
        <v>87</v>
      </c>
      <c r="E57" s="217" t="s">
        <v>82</v>
      </c>
      <c r="F57" s="248" t="s">
        <v>105</v>
      </c>
      <c r="G57" s="249"/>
      <c r="H57" s="216"/>
    </row>
    <row r="58" spans="1:8" ht="49.5" customHeight="1" hidden="1">
      <c r="A58" s="134"/>
      <c r="B58" s="135" t="s">
        <v>80</v>
      </c>
      <c r="C58" s="209" t="s">
        <v>79</v>
      </c>
      <c r="D58" s="132" t="s">
        <v>88</v>
      </c>
      <c r="E58" s="132" t="s">
        <v>83</v>
      </c>
      <c r="F58" s="250" t="s">
        <v>106</v>
      </c>
      <c r="G58" s="251"/>
      <c r="H58" s="133"/>
    </row>
    <row r="59" spans="1:8" ht="49.5" customHeight="1" hidden="1">
      <c r="A59" s="130"/>
      <c r="B59" s="189" t="s">
        <v>104</v>
      </c>
      <c r="C59" s="209" t="s">
        <v>79</v>
      </c>
      <c r="D59" s="190"/>
      <c r="E59" s="190"/>
      <c r="F59" s="250" t="s">
        <v>107</v>
      </c>
      <c r="G59" s="251"/>
      <c r="H59" s="191"/>
    </row>
    <row r="60" spans="1:8" ht="49.5" customHeight="1" hidden="1" thickBot="1">
      <c r="A60" s="136"/>
      <c r="B60" s="137" t="s">
        <v>73</v>
      </c>
      <c r="C60" s="210" t="s">
        <v>79</v>
      </c>
      <c r="D60" s="138" t="s">
        <v>89</v>
      </c>
      <c r="E60" s="138" t="s">
        <v>84</v>
      </c>
      <c r="F60" s="250" t="s">
        <v>108</v>
      </c>
      <c r="G60" s="251"/>
      <c r="H60" s="139"/>
    </row>
    <row r="61" spans="1:8" ht="21" customHeight="1">
      <c r="A61" s="37"/>
      <c r="B61" s="38"/>
      <c r="C61" s="201"/>
      <c r="D61" s="39"/>
      <c r="E61" s="39"/>
      <c r="F61" s="39"/>
      <c r="G61" s="39"/>
      <c r="H61" s="39"/>
    </row>
    <row r="62" spans="4:7" ht="21" customHeight="1">
      <c r="D62" s="42"/>
      <c r="E62" s="42"/>
      <c r="F62" s="42"/>
      <c r="G62" s="42"/>
    </row>
    <row r="63" spans="1:9" s="47" customFormat="1" ht="21" customHeight="1">
      <c r="A63" s="43"/>
      <c r="B63" s="44"/>
      <c r="C63" s="212"/>
      <c r="D63" s="45"/>
      <c r="E63" s="45"/>
      <c r="F63" s="49"/>
      <c r="G63" s="46"/>
      <c r="I63" s="45"/>
    </row>
  </sheetData>
  <sheetProtection/>
  <mergeCells count="16">
    <mergeCell ref="C50:C51"/>
    <mergeCell ref="F50:F51"/>
    <mergeCell ref="F57:G57"/>
    <mergeCell ref="F58:G58"/>
    <mergeCell ref="F60:G60"/>
    <mergeCell ref="J3:J4"/>
    <mergeCell ref="F3:F4"/>
    <mergeCell ref="H3:H4"/>
    <mergeCell ref="F59:G59"/>
    <mergeCell ref="H50:H51"/>
    <mergeCell ref="A1:H1"/>
    <mergeCell ref="A3:A4"/>
    <mergeCell ref="B3:B4"/>
    <mergeCell ref="C3:C4"/>
    <mergeCell ref="G3:G4"/>
    <mergeCell ref="D3:E3"/>
  </mergeCells>
  <printOptions/>
  <pageMargins left="0" right="0" top="0" bottom="0" header="0" footer="0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PEO1</cp:lastModifiedBy>
  <cp:lastPrinted>2022-12-23T10:12:17Z</cp:lastPrinted>
  <dcterms:created xsi:type="dcterms:W3CDTF">2016-06-16T06:30:56Z</dcterms:created>
  <dcterms:modified xsi:type="dcterms:W3CDTF">2022-12-23T10:12:23Z</dcterms:modified>
  <cp:category/>
  <cp:version/>
  <cp:contentType/>
  <cp:contentStatus/>
</cp:coreProperties>
</file>