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76" windowWidth="10110" windowHeight="11970" activeTab="0"/>
  </bookViews>
  <sheets>
    <sheet name="водоотвод -рус.яз." sheetId="1" r:id="rId1"/>
  </sheets>
  <definedNames>
    <definedName name="_xlfn.IFERROR" hidden="1">#NAME?</definedName>
    <definedName name="_xlnm.Print_Titles" localSheetId="0">'водоотвод -рус.яз.'!$3:$4</definedName>
    <definedName name="_xlnm.Print_Area" localSheetId="0">'водоотвод -рус.яз.'!$A$1:$O$66</definedName>
  </definedNames>
  <calcPr fullCalcOnLoad="1"/>
</workbook>
</file>

<file path=xl/comments1.xml><?xml version="1.0" encoding="utf-8"?>
<comments xmlns="http://schemas.openxmlformats.org/spreadsheetml/2006/main">
  <authors>
    <author>PEO2</author>
    <author>Индира Нурсабитова1</author>
  </authors>
  <commentList>
    <comment ref="B79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чифра считается в обратном порядке от утвержденной в ТС</t>
        </r>
      </text>
    </comment>
    <comment ref="H18" authorId="1">
      <text>
        <r>
          <rPr>
            <sz val="9"/>
            <rFont val="Tahoma"/>
            <family val="2"/>
          </rPr>
          <t>расчитано в ручную</t>
        </r>
      </text>
    </comment>
  </commentList>
</comments>
</file>

<file path=xl/sharedStrings.xml><?xml version="1.0" encoding="utf-8"?>
<sst xmlns="http://schemas.openxmlformats.org/spreadsheetml/2006/main" count="207" uniqueCount="125">
  <si>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</si>
  <si>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</si>
  <si>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</si>
  <si>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</si>
  <si>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</si>
  <si>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</si>
  <si>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</si>
  <si>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</si>
  <si>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</si>
  <si>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</si>
  <si>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>1.2.</t>
  </si>
  <si>
    <t>1.3.</t>
  </si>
  <si>
    <t>1.4.</t>
  </si>
  <si>
    <t>2.</t>
  </si>
  <si>
    <t>Расходы на оплату труда, всего</t>
  </si>
  <si>
    <t>2.1.</t>
  </si>
  <si>
    <t>2.2.</t>
  </si>
  <si>
    <t>3.</t>
  </si>
  <si>
    <t>3.1.</t>
  </si>
  <si>
    <t>3.2.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</si>
  <si>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</si>
  <si>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</si>
  <si>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</si>
  <si>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</si>
  <si>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</si>
  <si>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</si>
  <si>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</si>
  <si>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</si>
  <si>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</si>
  <si>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</si>
  <si>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</si>
  <si>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7.2.</t>
  </si>
  <si>
    <t>Налоги</t>
  </si>
  <si>
    <t>7.3.</t>
  </si>
  <si>
    <t>7.4.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</si>
  <si>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</si>
  <si>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</si>
  <si>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</si>
  <si>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</si>
  <si>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</si>
  <si>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</si>
  <si>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</si>
  <si>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</si>
  <si>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</si>
  <si>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</si>
  <si>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</si>
  <si>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</si>
  <si>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</si>
  <si>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>8.2.</t>
  </si>
  <si>
    <t>8.3.</t>
  </si>
  <si>
    <t>8.4.</t>
  </si>
  <si>
    <t>8.5.</t>
  </si>
  <si>
    <t>8.6.</t>
  </si>
  <si>
    <t>8.7.</t>
  </si>
  <si>
    <t>8.8.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</si>
  <si>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</si>
  <si>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</si>
  <si>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</si>
  <si>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</si>
  <si>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</si>
  <si>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</si>
  <si>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</si>
  <si>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тыс.м³</t>
  </si>
  <si>
    <t>VII.</t>
  </si>
  <si>
    <t>тенге/м³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</si>
  <si>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</si>
  <si>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</si>
  <si>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</si>
  <si>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</si>
  <si>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</si>
  <si>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</si>
  <si>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</si>
  <si>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</si>
  <si>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</si>
  <si>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</si>
  <si>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План на 1 полугодие 2023г.</t>
  </si>
  <si>
    <t>Факт за 1 полугодие 2023г.</t>
  </si>
  <si>
    <t>Амортизация, ВСЕГО:</t>
  </si>
  <si>
    <t>на выполнение инвестиционной программы</t>
  </si>
  <si>
    <t>на возврат основного долга по кредиту ЕБРР</t>
  </si>
  <si>
    <t>3.3.</t>
  </si>
  <si>
    <t>на возврат основного долга по кредиту Нурлы Жол</t>
  </si>
  <si>
    <t>сан очистка</t>
  </si>
  <si>
    <t>Материалы на содержание</t>
  </si>
  <si>
    <t>Прибыль</t>
  </si>
  <si>
    <t>Сумма необоснованно полученного дохода, установленная по итогам анализа исполнения тарифной сметы и инвестиционной программы</t>
  </si>
  <si>
    <t>Сумма необоснованно полученного дохода, установленная по итогам анализа исполнения тарифной сметы за 2021 год</t>
  </si>
  <si>
    <t>Всего доходов с учетом суммы необоснованно полученного дохода в том числе:</t>
  </si>
  <si>
    <t>физические лица, организации, занимающиеся производством тепловой энергии, в пределах объемов потребления воды на собственные нужды в процессе производства тепловой энергии и объемов подпитки при предоставлении услуг горячего водоснабжения (при открытой системе горячего водоснабжения), организации, занимающиеся передачей и распределением тепловой энергии, в пределах объемов утвержденных нормативных технических потерь и организации, предоставляющие регулируемые услуги в сфере водоснабжения и (или) водоотведения</t>
  </si>
  <si>
    <t>организации, содержащиеся за счет бюджетных средств</t>
  </si>
  <si>
    <t>прочие потребители- юридические лица, не входящие в состав первой и третьей групп</t>
  </si>
  <si>
    <t>Нормативные технические потери</t>
  </si>
  <si>
    <t>%</t>
  </si>
  <si>
    <t xml:space="preserve">   -"- в натуральных показателях</t>
  </si>
  <si>
    <t>VIII.</t>
  </si>
  <si>
    <t xml:space="preserve"> прочие потребители- юридические лица, не входящие в состав первой и третьей групп</t>
  </si>
  <si>
    <t>План на 2 полугодие 2023г.</t>
  </si>
  <si>
    <t>Факт за 10 месяцев 2023г.</t>
  </si>
  <si>
    <t xml:space="preserve">утвержден  с 1 июля 2022г. (пр.105-ОД от 21.07.2022г)                      </t>
  </si>
  <si>
    <t xml:space="preserve">утвержден  с 1 июля 2023г. (пр.105-ОД от 21.07.2022г)                      </t>
  </si>
  <si>
    <t>сырьё и материалы</t>
  </si>
  <si>
    <t>электроэнергия</t>
  </si>
  <si>
    <t>теплоэнергия</t>
  </si>
  <si>
    <t>заработная плата производственного персонала</t>
  </si>
  <si>
    <t>отчисления от заработной платы</t>
  </si>
  <si>
    <t>заработная плата административного персонала</t>
  </si>
  <si>
    <t xml:space="preserve">Заработная плата     </t>
  </si>
  <si>
    <t>Отчисления от заработной платы</t>
  </si>
  <si>
    <t>Амортизация основных средств</t>
  </si>
  <si>
    <t xml:space="preserve">Материалы  на содержание </t>
  </si>
  <si>
    <t>Прочие  затраты  на содержание службы сбыта</t>
  </si>
  <si>
    <t>ГСМ</t>
  </si>
  <si>
    <t>с 01.01.2023г по 30.06.2023г</t>
  </si>
  <si>
    <t>с 01.07.2023г по 31.12.2023г</t>
  </si>
  <si>
    <t>План за 2023г.</t>
  </si>
  <si>
    <t>Факт за  2023г.</t>
  </si>
  <si>
    <t>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12 месяцев 2023 года</t>
  </si>
  <si>
    <t>Вознаграждения по кредитам ЕБРР</t>
  </si>
  <si>
    <t>Вознаграждения по кредитам Нурлы Жол</t>
  </si>
  <si>
    <t>Вознаграждения по кредитам:</t>
  </si>
  <si>
    <t>заработная плата и отчисления от оплаты труда</t>
  </si>
  <si>
    <t>8.8.7</t>
  </si>
  <si>
    <t>услуга по обработке и доставке платежных поручений</t>
  </si>
  <si>
    <t>8.1-8.2</t>
  </si>
  <si>
    <r>
      <t>Тариф по предельному уровню за м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, без НДС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</si>
</sst>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  <numFmt numFmtId="181" formatCode="#,##0.00000"/>
    <numFmt numFmtId="182" formatCode="#,##0.000000"/>
    <numFmt numFmtId="183" formatCode="#,##0.0000000"/>
    <numFmt numFmtId="184" formatCode="#,##0.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2" fontId="19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 wrapText="1"/>
    </xf>
    <xf numFmtId="173" fontId="20" fillId="0" borderId="14" xfId="56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16" fontId="19" fillId="0" borderId="16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173" fontId="19" fillId="0" borderId="14" xfId="56" applyNumberFormat="1" applyFont="1" applyFill="1" applyBorder="1" applyAlignment="1">
      <alignment horizontal="center" vertical="center"/>
    </xf>
    <xf numFmtId="16" fontId="19" fillId="0" borderId="17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19" fillId="24" borderId="13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/>
    </xf>
    <xf numFmtId="173" fontId="19" fillId="24" borderId="14" xfId="56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vertical="center"/>
    </xf>
    <xf numFmtId="16" fontId="21" fillId="0" borderId="16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4" fontId="19" fillId="0" borderId="1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173" fontId="19" fillId="0" borderId="14" xfId="56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center" vertical="center"/>
    </xf>
    <xf numFmtId="173" fontId="22" fillId="0" borderId="14" xfId="56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center" vertical="center" wrapText="1"/>
    </xf>
    <xf numFmtId="173" fontId="19" fillId="24" borderId="14" xfId="56" applyNumberFormat="1" applyFont="1" applyFill="1" applyBorder="1" applyAlignment="1">
      <alignment horizontal="center" vertical="center" wrapText="1"/>
    </xf>
    <xf numFmtId="173" fontId="20" fillId="0" borderId="14" xfId="56" applyNumberFormat="1" applyFont="1" applyFill="1" applyBorder="1" applyAlignment="1">
      <alignment horizontal="center" vertical="center" wrapText="1"/>
    </xf>
    <xf numFmtId="174" fontId="19" fillId="24" borderId="18" xfId="0" applyNumberFormat="1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left" vertical="center"/>
    </xf>
    <xf numFmtId="174" fontId="19" fillId="24" borderId="22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173" fontId="20" fillId="24" borderId="14" xfId="56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center" vertical="center" wrapText="1"/>
    </xf>
    <xf numFmtId="173" fontId="20" fillId="0" borderId="10" xfId="56" applyNumberFormat="1" applyFont="1" applyFill="1" applyBorder="1" applyAlignment="1">
      <alignment horizontal="center" vertical="center"/>
    </xf>
    <xf numFmtId="172" fontId="25" fillId="0" borderId="10" xfId="0" applyNumberFormat="1" applyFont="1" applyFill="1" applyBorder="1" applyAlignment="1">
      <alignment horizontal="center" vertical="center"/>
    </xf>
    <xf numFmtId="173" fontId="19" fillId="0" borderId="10" xfId="56" applyNumberFormat="1" applyFont="1" applyFill="1" applyBorder="1" applyAlignment="1">
      <alignment horizontal="center" vertical="center"/>
    </xf>
    <xf numFmtId="16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vertical="center"/>
    </xf>
    <xf numFmtId="4" fontId="20" fillId="26" borderId="10" xfId="0" applyNumberFormat="1" applyFont="1" applyFill="1" applyBorder="1" applyAlignment="1">
      <alignment horizontal="center" vertical="center"/>
    </xf>
    <xf numFmtId="172" fontId="22" fillId="26" borderId="10" xfId="0" applyNumberFormat="1" applyFont="1" applyFill="1" applyBorder="1" applyAlignment="1">
      <alignment horizontal="center" vertical="center"/>
    </xf>
    <xf numFmtId="172" fontId="21" fillId="26" borderId="10" xfId="0" applyNumberFormat="1" applyFont="1" applyFill="1" applyBorder="1" applyAlignment="1">
      <alignment horizontal="center" vertical="center"/>
    </xf>
    <xf numFmtId="172" fontId="20" fillId="26" borderId="10" xfId="0" applyNumberFormat="1" applyFont="1" applyFill="1" applyBorder="1" applyAlignment="1">
      <alignment horizontal="center" vertical="center"/>
    </xf>
    <xf numFmtId="172" fontId="19" fillId="26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 wrapText="1"/>
    </xf>
    <xf numFmtId="0" fontId="20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Continuous" vertical="center"/>
    </xf>
    <xf numFmtId="0" fontId="19" fillId="26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 wrapText="1"/>
    </xf>
    <xf numFmtId="173" fontId="19" fillId="25" borderId="14" xfId="56" applyNumberFormat="1" applyFont="1" applyFill="1" applyBorder="1" applyAlignment="1">
      <alignment horizontal="center" vertical="center"/>
    </xf>
    <xf numFmtId="174" fontId="19" fillId="24" borderId="29" xfId="0" applyNumberFormat="1" applyFont="1" applyFill="1" applyBorder="1" applyAlignment="1">
      <alignment horizontal="center" vertical="center"/>
    </xf>
    <xf numFmtId="49" fontId="19" fillId="24" borderId="29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9" fontId="20" fillId="0" borderId="14" xfId="56" applyNumberFormat="1" applyFont="1" applyFill="1" applyBorder="1" applyAlignment="1">
      <alignment horizontal="center" vertical="center"/>
    </xf>
    <xf numFmtId="9" fontId="19" fillId="0" borderId="14" xfId="56" applyNumberFormat="1" applyFont="1" applyFill="1" applyBorder="1" applyAlignment="1">
      <alignment horizontal="center" vertical="center"/>
    </xf>
    <xf numFmtId="9" fontId="19" fillId="24" borderId="14" xfId="56" applyNumberFormat="1" applyFont="1" applyFill="1" applyBorder="1" applyAlignment="1">
      <alignment horizontal="center" vertical="center"/>
    </xf>
    <xf numFmtId="9" fontId="19" fillId="0" borderId="14" xfId="56" applyNumberFormat="1" applyFont="1" applyFill="1" applyBorder="1" applyAlignment="1">
      <alignment horizontal="center" vertical="center" wrapText="1"/>
    </xf>
    <xf numFmtId="9" fontId="22" fillId="0" borderId="14" xfId="56" applyNumberFormat="1" applyFont="1" applyFill="1" applyBorder="1" applyAlignment="1">
      <alignment horizontal="center" vertical="center" wrapText="1"/>
    </xf>
    <xf numFmtId="9" fontId="19" fillId="24" borderId="14" xfId="56" applyNumberFormat="1" applyFont="1" applyFill="1" applyBorder="1" applyAlignment="1">
      <alignment horizontal="center" vertical="center" wrapText="1"/>
    </xf>
    <xf numFmtId="9" fontId="20" fillId="0" borderId="14" xfId="56" applyNumberFormat="1" applyFont="1" applyFill="1" applyBorder="1" applyAlignment="1">
      <alignment horizontal="center" vertical="center" wrapText="1"/>
    </xf>
    <xf numFmtId="9" fontId="20" fillId="24" borderId="14" xfId="56" applyNumberFormat="1" applyFont="1" applyFill="1" applyBorder="1" applyAlignment="1">
      <alignment horizontal="center" vertical="center"/>
    </xf>
    <xf numFmtId="171" fontId="19" fillId="0" borderId="0" xfId="59" applyFont="1" applyFill="1" applyAlignment="1">
      <alignment vertical="center"/>
    </xf>
    <xf numFmtId="43" fontId="19" fillId="0" borderId="0" xfId="0" applyNumberFormat="1" applyFont="1" applyFill="1" applyAlignment="1">
      <alignment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6" borderId="31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20" fillId="0" borderId="34" xfId="0" applyNumberFormat="1" applyFont="1" applyFill="1" applyBorder="1" applyAlignment="1">
      <alignment horizontal="center" vertical="center"/>
    </xf>
    <xf numFmtId="4" fontId="20" fillId="0" borderId="3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29">
      <selection activeCell="N46" sqref="N46"/>
    </sheetView>
  </sheetViews>
  <sheetFormatPr defaultColWidth="9.00390625" defaultRowHeight="21" customHeight="1"/>
  <cols>
    <col min="1" max="1" width="5.375" style="13" customWidth="1"/>
    <col min="2" max="2" width="41.875" style="1" customWidth="1"/>
    <col min="3" max="3" width="10.00390625" style="13" customWidth="1"/>
    <col min="4" max="5" width="12.25390625" style="1" hidden="1" customWidth="1"/>
    <col min="6" max="6" width="7.625" style="1" hidden="1" customWidth="1"/>
    <col min="7" max="7" width="11.375" style="1" hidden="1" customWidth="1"/>
    <col min="8" max="8" width="12.125" style="102" hidden="1" customWidth="1"/>
    <col min="9" max="9" width="9.125" style="27" hidden="1" customWidth="1"/>
    <col min="10" max="11" width="13.875" style="27" hidden="1" customWidth="1"/>
    <col min="12" max="12" width="9.125" style="1" hidden="1" customWidth="1"/>
    <col min="13" max="13" width="11.375" style="1" customWidth="1"/>
    <col min="14" max="14" width="12.375" style="1" customWidth="1"/>
    <col min="15" max="15" width="8.625" style="1" customWidth="1"/>
    <col min="16" max="16" width="10.375" style="1" bestFit="1" customWidth="1"/>
    <col min="17" max="17" width="9.625" style="1" bestFit="1" customWidth="1"/>
    <col min="18" max="18" width="10.375" style="1" bestFit="1" customWidth="1"/>
    <col min="19" max="16384" width="9.125" style="1" customWidth="1"/>
  </cols>
  <sheetData>
    <row r="1" spans="1:15" ht="53.25" customHeight="1">
      <c r="A1" s="115" t="s">
        <v>116</v>
      </c>
      <c r="B1" s="115"/>
      <c r="C1" s="115"/>
      <c r="D1" s="115"/>
      <c r="E1" s="115"/>
      <c r="F1" s="115"/>
      <c r="G1" s="112"/>
      <c r="H1" s="113"/>
      <c r="I1" s="114"/>
      <c r="J1" s="114"/>
      <c r="K1" s="114"/>
      <c r="L1" s="112"/>
      <c r="M1" s="112"/>
      <c r="N1" s="112"/>
      <c r="O1" s="112"/>
    </row>
    <row r="2" spans="1:6" ht="21" customHeight="1" thickBot="1">
      <c r="A2" s="23"/>
      <c r="B2" s="27"/>
      <c r="C2" s="23"/>
      <c r="D2" s="27"/>
      <c r="E2" s="27"/>
      <c r="F2" s="27"/>
    </row>
    <row r="3" spans="1:15" ht="16.5" customHeight="1">
      <c r="A3" s="141" t="s">
        <v>0</v>
      </c>
      <c r="B3" s="143" t="s">
        <v>1</v>
      </c>
      <c r="C3" s="145" t="s">
        <v>2</v>
      </c>
      <c r="D3" s="135" t="s">
        <v>75</v>
      </c>
      <c r="E3" s="135" t="s">
        <v>76</v>
      </c>
      <c r="F3" s="137" t="s">
        <v>3</v>
      </c>
      <c r="G3" s="135" t="s">
        <v>96</v>
      </c>
      <c r="H3" s="139" t="s">
        <v>97</v>
      </c>
      <c r="I3" s="137" t="s">
        <v>3</v>
      </c>
      <c r="J3" s="135" t="s">
        <v>114</v>
      </c>
      <c r="K3" s="135" t="s">
        <v>115</v>
      </c>
      <c r="L3" s="137" t="s">
        <v>3</v>
      </c>
      <c r="M3" s="135" t="s">
        <v>114</v>
      </c>
      <c r="N3" s="135" t="s">
        <v>115</v>
      </c>
      <c r="O3" s="137" t="s">
        <v>3</v>
      </c>
    </row>
    <row r="4" spans="1:15" ht="24" customHeight="1" thickBot="1">
      <c r="A4" s="142"/>
      <c r="B4" s="144"/>
      <c r="C4" s="146"/>
      <c r="D4" s="136"/>
      <c r="E4" s="136"/>
      <c r="F4" s="138"/>
      <c r="G4" s="136"/>
      <c r="H4" s="140"/>
      <c r="I4" s="138"/>
      <c r="J4" s="136"/>
      <c r="K4" s="136"/>
      <c r="L4" s="138"/>
      <c r="M4" s="136"/>
      <c r="N4" s="136"/>
      <c r="O4" s="138"/>
    </row>
    <row r="5" spans="1:15" ht="30" customHeight="1">
      <c r="A5" s="28" t="s">
        <v>4</v>
      </c>
      <c r="B5" s="29" t="s">
        <v>5</v>
      </c>
      <c r="C5" s="24" t="s">
        <v>6</v>
      </c>
      <c r="D5" s="3">
        <f>D6+D11+D14+D18+D19+D20</f>
        <v>950061.63</v>
      </c>
      <c r="E5" s="3">
        <v>0</v>
      </c>
      <c r="F5" s="30">
        <f>E5/D5</f>
        <v>0</v>
      </c>
      <c r="G5" s="3">
        <f>G6+G11+G14+G18+G19+G20</f>
        <v>1031053.7049999998</v>
      </c>
      <c r="H5" s="103">
        <f>H6+H11+H14+H18+H19+H20</f>
        <v>1190996.3099999998</v>
      </c>
      <c r="I5" s="30">
        <f>H5/G5</f>
        <v>1.155125386994269</v>
      </c>
      <c r="J5" s="3">
        <f>D5+G5</f>
        <v>1981115.335</v>
      </c>
      <c r="K5" s="3">
        <f>E5+H5</f>
        <v>1190996.3099999998</v>
      </c>
      <c r="L5" s="30">
        <f>K5/J5</f>
        <v>0.6011746458971304</v>
      </c>
      <c r="M5" s="97">
        <f>M6+M11+M14+M18+M19+M20</f>
        <v>1888682.35</v>
      </c>
      <c r="N5" s="97">
        <f>N6+N11+N14+N18+N19+N20</f>
        <v>1757674.3399999999</v>
      </c>
      <c r="O5" s="124">
        <f aca="true" t="shared" si="0" ref="O5:O30">N5/M5</f>
        <v>0.9306352336061169</v>
      </c>
    </row>
    <row r="6" spans="1:15" s="2" customFormat="1" ht="17.25" customHeight="1">
      <c r="A6" s="31" t="s">
        <v>7</v>
      </c>
      <c r="B6" s="32" t="s">
        <v>8</v>
      </c>
      <c r="C6" s="25" t="s">
        <v>6</v>
      </c>
      <c r="D6" s="3">
        <f>D7+D8+D9+D10</f>
        <v>210260.17</v>
      </c>
      <c r="E6" s="3">
        <f>SUM(E7:E9)+E10</f>
        <v>254901.74000000002</v>
      </c>
      <c r="F6" s="30">
        <f aca="true" t="shared" si="1" ref="F6:F60">E6/D6</f>
        <v>1.2123158656249542</v>
      </c>
      <c r="G6" s="3">
        <f>G7+G8+G9+G10</f>
        <v>252151.44</v>
      </c>
      <c r="H6" s="103">
        <f>H7+H8+H9+H10</f>
        <v>428245.72</v>
      </c>
      <c r="I6" s="30">
        <f aca="true" t="shared" si="2" ref="I6:I60">H6/G6</f>
        <v>1.6983671400012625</v>
      </c>
      <c r="J6" s="3">
        <f aca="true" t="shared" si="3" ref="J6:J63">D6+G6</f>
        <v>462411.61</v>
      </c>
      <c r="K6" s="3">
        <f>E6+H6</f>
        <v>683147.46</v>
      </c>
      <c r="L6" s="30">
        <f aca="true" t="shared" si="4" ref="L6:L60">K6/J6</f>
        <v>1.4773579322543393</v>
      </c>
      <c r="M6" s="97">
        <f>SUM(M7:M10)</f>
        <v>462411.61</v>
      </c>
      <c r="N6" s="97">
        <f>SUM(N7:N10)</f>
        <v>545797.81</v>
      </c>
      <c r="O6" s="124">
        <f t="shared" si="0"/>
        <v>1.1803289497856684</v>
      </c>
    </row>
    <row r="7" spans="1:15" ht="17.25" customHeight="1">
      <c r="A7" s="33" t="s">
        <v>9</v>
      </c>
      <c r="B7" s="34" t="s">
        <v>100</v>
      </c>
      <c r="C7" s="9" t="s">
        <v>6</v>
      </c>
      <c r="D7" s="4">
        <f>25067.09/2</f>
        <v>12533.545</v>
      </c>
      <c r="E7" s="4">
        <v>15612.19</v>
      </c>
      <c r="F7" s="35">
        <f>E7/D7</f>
        <v>1.2456324208354461</v>
      </c>
      <c r="G7" s="4">
        <f>26069.77/2</f>
        <v>13034.885</v>
      </c>
      <c r="H7" s="104">
        <v>26448.49</v>
      </c>
      <c r="I7" s="35">
        <f>H7/G7</f>
        <v>2.029054341484409</v>
      </c>
      <c r="J7" s="4">
        <f t="shared" si="3"/>
        <v>25568.43</v>
      </c>
      <c r="K7" s="4">
        <f aca="true" t="shared" si="5" ref="K7:K63">E7+H7</f>
        <v>42060.68</v>
      </c>
      <c r="L7" s="35">
        <f>K7/J7</f>
        <v>1.645023961189639</v>
      </c>
      <c r="M7" s="99">
        <f>(25067.09+26069.77)/2</f>
        <v>25568.43</v>
      </c>
      <c r="N7" s="99">
        <v>31738.19</v>
      </c>
      <c r="O7" s="125">
        <f t="shared" si="0"/>
        <v>1.2413038266330783</v>
      </c>
    </row>
    <row r="8" spans="1:15" ht="17.25" customHeight="1">
      <c r="A8" s="33" t="s">
        <v>10</v>
      </c>
      <c r="B8" s="34" t="s">
        <v>111</v>
      </c>
      <c r="C8" s="9" t="s">
        <v>6</v>
      </c>
      <c r="D8" s="4">
        <f>83815.52/2</f>
        <v>41907.76</v>
      </c>
      <c r="E8" s="4">
        <v>49690.33</v>
      </c>
      <c r="F8" s="35">
        <f>E8/D8</f>
        <v>1.1857071339532343</v>
      </c>
      <c r="G8" s="4">
        <f>105158.22/2</f>
        <v>52579.11</v>
      </c>
      <c r="H8" s="104">
        <v>84185.8</v>
      </c>
      <c r="I8" s="35">
        <f>H8/G8</f>
        <v>1.6011263788983876</v>
      </c>
      <c r="J8" s="4">
        <f t="shared" si="3"/>
        <v>94486.87</v>
      </c>
      <c r="K8" s="4">
        <f t="shared" si="5"/>
        <v>133876.13</v>
      </c>
      <c r="L8" s="35">
        <f>K8/J8</f>
        <v>1.4168754875677436</v>
      </c>
      <c r="M8" s="99">
        <f>(83815.52+105158.22)/2</f>
        <v>94486.87</v>
      </c>
      <c r="N8" s="99">
        <v>101022.96</v>
      </c>
      <c r="O8" s="125">
        <f t="shared" si="0"/>
        <v>1.0691745847862248</v>
      </c>
    </row>
    <row r="9" spans="1:15" ht="17.25" customHeight="1">
      <c r="A9" s="33" t="s">
        <v>11</v>
      </c>
      <c r="B9" s="34" t="s">
        <v>101</v>
      </c>
      <c r="C9" s="9" t="s">
        <v>6</v>
      </c>
      <c r="D9" s="4">
        <f>300274.2/2</f>
        <v>150137.1</v>
      </c>
      <c r="E9" s="4">
        <v>180829.3</v>
      </c>
      <c r="F9" s="35">
        <f>E9/D9</f>
        <v>1.204427819639516</v>
      </c>
      <c r="G9" s="4">
        <f>361256.82/2</f>
        <v>180628.41</v>
      </c>
      <c r="H9" s="104">
        <v>307194.54</v>
      </c>
      <c r="I9" s="35">
        <f>H9/G9</f>
        <v>1.7006989099887442</v>
      </c>
      <c r="J9" s="4">
        <f t="shared" si="3"/>
        <v>330765.51</v>
      </c>
      <c r="K9" s="4">
        <f t="shared" si="5"/>
        <v>488023.83999999997</v>
      </c>
      <c r="L9" s="35">
        <f>K9/J9</f>
        <v>1.4754375085842535</v>
      </c>
      <c r="M9" s="99">
        <f>(300274.2+361256.82)/2</f>
        <v>330765.51</v>
      </c>
      <c r="N9" s="99">
        <v>397967</v>
      </c>
      <c r="O9" s="125">
        <f t="shared" si="0"/>
        <v>1.203169580770377</v>
      </c>
    </row>
    <row r="10" spans="1:15" ht="17.25" customHeight="1">
      <c r="A10" s="36" t="s">
        <v>12</v>
      </c>
      <c r="B10" s="34" t="s">
        <v>102</v>
      </c>
      <c r="C10" s="9" t="s">
        <v>6</v>
      </c>
      <c r="D10" s="4">
        <f>11363.53/2</f>
        <v>5681.765</v>
      </c>
      <c r="E10" s="4">
        <v>8769.92</v>
      </c>
      <c r="F10" s="35">
        <f>E10/D10</f>
        <v>1.5435203673506384</v>
      </c>
      <c r="G10" s="4">
        <f>11818.07/2</f>
        <v>5909.035</v>
      </c>
      <c r="H10" s="104">
        <v>10416.89</v>
      </c>
      <c r="I10" s="35">
        <f>H10/G10</f>
        <v>1.762874987201802</v>
      </c>
      <c r="J10" s="4">
        <f t="shared" si="3"/>
        <v>11590.8</v>
      </c>
      <c r="K10" s="4">
        <f t="shared" si="5"/>
        <v>19186.809999999998</v>
      </c>
      <c r="L10" s="35">
        <f>K10/J10</f>
        <v>1.6553482071988128</v>
      </c>
      <c r="M10" s="99">
        <f>(11363.53+11818.07)/2</f>
        <v>11590.8</v>
      </c>
      <c r="N10" s="99">
        <v>15069.66</v>
      </c>
      <c r="O10" s="125">
        <f t="shared" si="0"/>
        <v>1.3001397660213274</v>
      </c>
    </row>
    <row r="11" spans="1:15" s="2" customFormat="1" ht="17.25" customHeight="1">
      <c r="A11" s="37" t="s">
        <v>13</v>
      </c>
      <c r="B11" s="38" t="s">
        <v>14</v>
      </c>
      <c r="C11" s="25" t="s">
        <v>6</v>
      </c>
      <c r="D11" s="3">
        <f>D12+D13</f>
        <v>378033.72000000003</v>
      </c>
      <c r="E11" s="3">
        <f>E12+E13</f>
        <v>374924.57</v>
      </c>
      <c r="F11" s="30">
        <f t="shared" si="1"/>
        <v>0.9917754691301083</v>
      </c>
      <c r="G11" s="3">
        <f>G12+G13</f>
        <v>443849.81</v>
      </c>
      <c r="H11" s="103">
        <f>H12+H13</f>
        <v>657165.61</v>
      </c>
      <c r="I11" s="30">
        <f t="shared" si="2"/>
        <v>1.4806035627231653</v>
      </c>
      <c r="J11" s="3">
        <f t="shared" si="3"/>
        <v>821883.53</v>
      </c>
      <c r="K11" s="3">
        <f t="shared" si="5"/>
        <v>1032090.1799999999</v>
      </c>
      <c r="L11" s="30">
        <f t="shared" si="4"/>
        <v>1.255762090767289</v>
      </c>
      <c r="M11" s="97">
        <f>(756067.44+887699.62)/2</f>
        <v>821883.53</v>
      </c>
      <c r="N11" s="97">
        <f>N12+N13</f>
        <v>787484.24</v>
      </c>
      <c r="O11" s="124">
        <f t="shared" si="0"/>
        <v>0.9581457849629861</v>
      </c>
    </row>
    <row r="12" spans="1:15" ht="17.25" customHeight="1" hidden="1">
      <c r="A12" s="33" t="s">
        <v>15</v>
      </c>
      <c r="B12" s="39" t="s">
        <v>103</v>
      </c>
      <c r="C12" s="40" t="s">
        <v>6</v>
      </c>
      <c r="D12" s="4">
        <f>681783.15/2</f>
        <v>340891.575</v>
      </c>
      <c r="E12" s="41">
        <v>337620.13</v>
      </c>
      <c r="F12" s="42">
        <f>E12/D12</f>
        <v>0.9904032682532562</v>
      </c>
      <c r="G12" s="4">
        <f>796669.02/2</f>
        <v>398334.51</v>
      </c>
      <c r="H12" s="104">
        <v>592115.85</v>
      </c>
      <c r="I12" s="42">
        <f>H12/G12</f>
        <v>1.4864789144179347</v>
      </c>
      <c r="J12" s="4">
        <f t="shared" si="3"/>
        <v>739226.085</v>
      </c>
      <c r="K12" s="4">
        <f t="shared" si="5"/>
        <v>929735.98</v>
      </c>
      <c r="L12" s="42">
        <f>K12/J12</f>
        <v>1.2577153307570308</v>
      </c>
      <c r="M12" s="99">
        <f>J12</f>
        <v>739226.085</v>
      </c>
      <c r="N12" s="99">
        <v>710539.02</v>
      </c>
      <c r="O12" s="126">
        <f t="shared" si="0"/>
        <v>0.9611931104947413</v>
      </c>
    </row>
    <row r="13" spans="1:15" ht="17.25" customHeight="1" hidden="1">
      <c r="A13" s="36" t="s">
        <v>16</v>
      </c>
      <c r="B13" s="43" t="s">
        <v>104</v>
      </c>
      <c r="C13" s="40" t="s">
        <v>6</v>
      </c>
      <c r="D13" s="4">
        <f>74284.29/2</f>
        <v>37142.145</v>
      </c>
      <c r="E13" s="41">
        <v>37304.44</v>
      </c>
      <c r="F13" s="42">
        <f>E13/D13</f>
        <v>1.0043695645472281</v>
      </c>
      <c r="G13" s="4">
        <f>91030.6/2</f>
        <v>45515.3</v>
      </c>
      <c r="H13" s="104">
        <v>65049.76</v>
      </c>
      <c r="I13" s="42">
        <f>H13/G13</f>
        <v>1.4291844720346785</v>
      </c>
      <c r="J13" s="4">
        <f t="shared" si="3"/>
        <v>82657.445</v>
      </c>
      <c r="K13" s="4">
        <f t="shared" si="5"/>
        <v>102354.20000000001</v>
      </c>
      <c r="L13" s="42">
        <f>K13/J13</f>
        <v>1.2382937798283022</v>
      </c>
      <c r="M13" s="99">
        <f>J13</f>
        <v>82657.445</v>
      </c>
      <c r="N13" s="99">
        <v>76945.22</v>
      </c>
      <c r="O13" s="126">
        <f t="shared" si="0"/>
        <v>0.9308927949563405</v>
      </c>
    </row>
    <row r="14" spans="1:15" s="2" customFormat="1" ht="17.25" customHeight="1">
      <c r="A14" s="44" t="s">
        <v>17</v>
      </c>
      <c r="B14" s="32" t="s">
        <v>77</v>
      </c>
      <c r="C14" s="25" t="s">
        <v>6</v>
      </c>
      <c r="D14" s="3">
        <f>D15+D16+D17</f>
        <v>300589</v>
      </c>
      <c r="E14" s="3">
        <f>E15+E16+E17</f>
        <v>68053.03</v>
      </c>
      <c r="F14" s="30">
        <f>E14/D14</f>
        <v>0.22639893675417264</v>
      </c>
      <c r="G14" s="3">
        <f>G15+G16+G17</f>
        <v>267115.39999999997</v>
      </c>
      <c r="H14" s="103">
        <f>H15+H16+H17</f>
        <v>-1994.2999999999993</v>
      </c>
      <c r="I14" s="30">
        <f>H14/G14</f>
        <v>-0.007466061485036054</v>
      </c>
      <c r="J14" s="3">
        <f t="shared" si="3"/>
        <v>567704.3999999999</v>
      </c>
      <c r="K14" s="3">
        <f t="shared" si="5"/>
        <v>66058.73</v>
      </c>
      <c r="L14" s="30">
        <f>K14/J14</f>
        <v>0.11636113794432455</v>
      </c>
      <c r="M14" s="97">
        <f>M15+M16+M17</f>
        <v>431775.7</v>
      </c>
      <c r="N14" s="97">
        <f>N15+N16+N17</f>
        <v>177416.34999999998</v>
      </c>
      <c r="O14" s="124">
        <f t="shared" si="0"/>
        <v>0.4108993396339812</v>
      </c>
    </row>
    <row r="15" spans="1:15" s="2" customFormat="1" ht="17.25" customHeight="1">
      <c r="A15" s="45" t="s">
        <v>18</v>
      </c>
      <c r="B15" s="46" t="s">
        <v>78</v>
      </c>
      <c r="C15" s="9" t="s">
        <v>6</v>
      </c>
      <c r="D15" s="101">
        <f>379868.05-D49-(D31+D32+D41+D42+758)</f>
        <v>234577.025</v>
      </c>
      <c r="E15" s="101">
        <f>12074.9-(E31+E32+E41+E42+709)</f>
        <v>3344.66</v>
      </c>
      <c r="F15" s="116">
        <f>E15/D15</f>
        <v>0.014258259094214363</v>
      </c>
      <c r="G15" s="101">
        <f>379868.05-G49-(G31+G32+G41+G42+758)</f>
        <v>198828.66999999998</v>
      </c>
      <c r="H15" s="101">
        <f>12074.9-(H31+H32+H41+H42+709)</f>
        <v>-1994.2999999999993</v>
      </c>
      <c r="I15" s="116">
        <f>H15/G15</f>
        <v>-0.010030243626334168</v>
      </c>
      <c r="J15" s="101">
        <f t="shared" si="3"/>
        <v>433405.69499999995</v>
      </c>
      <c r="K15" s="101">
        <f t="shared" si="5"/>
        <v>1350.3600000000006</v>
      </c>
      <c r="L15" s="116">
        <f>K15/J15</f>
        <v>0.0031156950994841006</v>
      </c>
      <c r="M15" s="99">
        <f>(240665.21+354288.78)/2</f>
        <v>297476.995</v>
      </c>
      <c r="N15" s="99">
        <f>59980.4-N31-N32-N41-N42</f>
        <v>43117.64</v>
      </c>
      <c r="O15" s="125">
        <f t="shared" si="0"/>
        <v>0.14494445192308064</v>
      </c>
    </row>
    <row r="16" spans="1:15" ht="17.25" customHeight="1">
      <c r="A16" s="45" t="s">
        <v>19</v>
      </c>
      <c r="B16" s="34" t="s">
        <v>79</v>
      </c>
      <c r="C16" s="9" t="s">
        <v>6</v>
      </c>
      <c r="D16" s="4">
        <f>129416.74/2</f>
        <v>64708.37</v>
      </c>
      <c r="E16" s="4">
        <v>64708.37</v>
      </c>
      <c r="F16" s="35">
        <f t="shared" si="1"/>
        <v>1</v>
      </c>
      <c r="G16" s="4">
        <f>120814.32/2</f>
        <v>60407.16</v>
      </c>
      <c r="H16" s="104"/>
      <c r="I16" s="35">
        <f t="shared" si="2"/>
        <v>0</v>
      </c>
      <c r="J16" s="4">
        <f t="shared" si="3"/>
        <v>125115.53</v>
      </c>
      <c r="K16" s="4">
        <f t="shared" si="5"/>
        <v>64708.37</v>
      </c>
      <c r="L16" s="35">
        <f t="shared" si="4"/>
        <v>0.5171889532818188</v>
      </c>
      <c r="M16" s="99">
        <f>(129416.74+120814.32)/2</f>
        <v>125115.53</v>
      </c>
      <c r="N16" s="99">
        <v>125115.53</v>
      </c>
      <c r="O16" s="125">
        <f t="shared" si="0"/>
        <v>1</v>
      </c>
    </row>
    <row r="17" spans="1:15" ht="17.25" customHeight="1">
      <c r="A17" s="45" t="s">
        <v>80</v>
      </c>
      <c r="B17" s="34" t="s">
        <v>81</v>
      </c>
      <c r="C17" s="9" t="s">
        <v>6</v>
      </c>
      <c r="D17" s="4">
        <f>2607.21/2</f>
        <v>1303.605</v>
      </c>
      <c r="E17" s="4">
        <v>0</v>
      </c>
      <c r="F17" s="35">
        <f t="shared" si="1"/>
        <v>0</v>
      </c>
      <c r="G17" s="4">
        <f>15759.14/2</f>
        <v>7879.57</v>
      </c>
      <c r="H17" s="104"/>
      <c r="I17" s="35">
        <f t="shared" si="2"/>
        <v>0</v>
      </c>
      <c r="J17" s="4">
        <f t="shared" si="3"/>
        <v>9183.175</v>
      </c>
      <c r="K17" s="4">
        <f t="shared" si="5"/>
        <v>0</v>
      </c>
      <c r="L17" s="35">
        <f t="shared" si="4"/>
        <v>0</v>
      </c>
      <c r="M17" s="99">
        <f>(2607.21+15759.14)/2</f>
        <v>9183.175</v>
      </c>
      <c r="N17" s="99">
        <v>9183.18</v>
      </c>
      <c r="O17" s="125">
        <f t="shared" si="0"/>
        <v>1.0000005444739974</v>
      </c>
    </row>
    <row r="18" spans="1:15" s="2" customFormat="1" ht="54" customHeight="1">
      <c r="A18" s="31" t="s">
        <v>20</v>
      </c>
      <c r="B18" s="38" t="s">
        <v>21</v>
      </c>
      <c r="C18" s="47" t="s">
        <v>6</v>
      </c>
      <c r="D18" s="3">
        <f>36076.71/2</f>
        <v>18038.355</v>
      </c>
      <c r="E18" s="3">
        <v>78271.78</v>
      </c>
      <c r="F18" s="30">
        <f t="shared" si="1"/>
        <v>4.339186139756092</v>
      </c>
      <c r="G18" s="3">
        <f>28783.42/2</f>
        <v>14391.71</v>
      </c>
      <c r="H18" s="104">
        <v>37791.9</v>
      </c>
      <c r="I18" s="30">
        <f t="shared" si="2"/>
        <v>2.6259492443913897</v>
      </c>
      <c r="J18" s="3">
        <f t="shared" si="3"/>
        <v>32430.065</v>
      </c>
      <c r="K18" s="3">
        <f t="shared" si="5"/>
        <v>116063.68</v>
      </c>
      <c r="L18" s="30">
        <f t="shared" si="4"/>
        <v>3.5788913774918427</v>
      </c>
      <c r="M18" s="97">
        <f>(36076.71+28783.42)/2</f>
        <v>32430.065</v>
      </c>
      <c r="N18" s="97">
        <f>108439+11369</f>
        <v>119808</v>
      </c>
      <c r="O18" s="124">
        <f t="shared" si="0"/>
        <v>3.694349672132942</v>
      </c>
    </row>
    <row r="19" spans="1:15" s="2" customFormat="1" ht="43.5" customHeight="1">
      <c r="A19" s="48" t="s">
        <v>22</v>
      </c>
      <c r="B19" s="38" t="s">
        <v>23</v>
      </c>
      <c r="C19" s="25" t="s">
        <v>6</v>
      </c>
      <c r="D19" s="3">
        <f>69342.86/2</f>
        <v>34671.43</v>
      </c>
      <c r="E19" s="3">
        <v>30568.95</v>
      </c>
      <c r="F19" s="30">
        <f t="shared" si="1"/>
        <v>0.8816754890121348</v>
      </c>
      <c r="G19" s="3">
        <f>87038.06/2</f>
        <v>43519.03</v>
      </c>
      <c r="H19" s="104">
        <v>58503.48</v>
      </c>
      <c r="I19" s="30">
        <f t="shared" si="2"/>
        <v>1.3443194850620523</v>
      </c>
      <c r="J19" s="3">
        <f t="shared" si="3"/>
        <v>78190.45999999999</v>
      </c>
      <c r="K19" s="3">
        <f t="shared" si="5"/>
        <v>89072.43000000001</v>
      </c>
      <c r="L19" s="30">
        <f t="shared" si="4"/>
        <v>1.1391726049443887</v>
      </c>
      <c r="M19" s="97">
        <f>(69342.86+87038.06)/2</f>
        <v>78190.45999999999</v>
      </c>
      <c r="N19" s="97">
        <v>76435.26</v>
      </c>
      <c r="O19" s="124">
        <f t="shared" si="0"/>
        <v>0.9775522487014401</v>
      </c>
    </row>
    <row r="20" spans="1:15" s="2" customFormat="1" ht="15.75" customHeight="1" thickBot="1">
      <c r="A20" s="49" t="s">
        <v>24</v>
      </c>
      <c r="B20" s="32" t="s">
        <v>25</v>
      </c>
      <c r="C20" s="25" t="s">
        <v>6</v>
      </c>
      <c r="D20" s="3">
        <f>(65817.55-48879.64)/2</f>
        <v>8468.955000000002</v>
      </c>
      <c r="E20" s="3">
        <f>31257.98-25231.85</f>
        <v>6026.130000000001</v>
      </c>
      <c r="F20" s="30">
        <f t="shared" si="1"/>
        <v>0.7115553217604769</v>
      </c>
      <c r="G20" s="3">
        <f>(58164.42-38111.79)/2</f>
        <v>10026.314999999999</v>
      </c>
      <c r="H20" s="104">
        <f>48984.93-37701.03</f>
        <v>11283.900000000001</v>
      </c>
      <c r="I20" s="30">
        <f t="shared" si="2"/>
        <v>1.1254284350731054</v>
      </c>
      <c r="J20" s="3">
        <f t="shared" si="3"/>
        <v>18495.27</v>
      </c>
      <c r="K20" s="3">
        <f t="shared" si="5"/>
        <v>17310.030000000002</v>
      </c>
      <c r="L20" s="30">
        <f t="shared" si="4"/>
        <v>0.9359165884034135</v>
      </c>
      <c r="M20" s="97">
        <f>(65817.55+58164.42)/2</f>
        <v>61990.985</v>
      </c>
      <c r="N20" s="97">
        <v>50732.68</v>
      </c>
      <c r="O20" s="124">
        <f t="shared" si="0"/>
        <v>0.8183880285173724</v>
      </c>
    </row>
    <row r="21" spans="1:15" ht="15.75" customHeight="1" thickBot="1">
      <c r="A21" s="50" t="s">
        <v>26</v>
      </c>
      <c r="B21" s="51" t="s">
        <v>27</v>
      </c>
      <c r="C21" s="24" t="s">
        <v>6</v>
      </c>
      <c r="D21" s="3">
        <f>D22+D37</f>
        <v>216574.18000000005</v>
      </c>
      <c r="E21" s="3">
        <f>E22+E37</f>
        <v>260522.10000000003</v>
      </c>
      <c r="F21" s="30">
        <f t="shared" si="1"/>
        <v>1.202923173944373</v>
      </c>
      <c r="G21" s="3">
        <f>G22+G37</f>
        <v>255532.355</v>
      </c>
      <c r="H21" s="103">
        <f>H22+H37</f>
        <v>427624.48999999993</v>
      </c>
      <c r="I21" s="30">
        <f t="shared" si="2"/>
        <v>1.6734651469086954</v>
      </c>
      <c r="J21" s="3">
        <f t="shared" si="3"/>
        <v>472106.53500000003</v>
      </c>
      <c r="K21" s="3">
        <f t="shared" si="5"/>
        <v>688146.59</v>
      </c>
      <c r="L21" s="30">
        <f t="shared" si="4"/>
        <v>1.4576086941901787</v>
      </c>
      <c r="M21" s="97">
        <f>M22+M37</f>
        <v>382004.55000000005</v>
      </c>
      <c r="N21" s="97">
        <f>N22+N37</f>
        <v>397902.753</v>
      </c>
      <c r="O21" s="124">
        <f t="shared" si="0"/>
        <v>1.0416178367508973</v>
      </c>
    </row>
    <row r="22" spans="1:15" s="2" customFormat="1" ht="17.25" customHeight="1">
      <c r="A22" s="52" t="s">
        <v>28</v>
      </c>
      <c r="B22" s="38" t="s">
        <v>29</v>
      </c>
      <c r="C22" s="25" t="s">
        <v>6</v>
      </c>
      <c r="D22" s="3">
        <f>D23+SUM(D26:D36)</f>
        <v>171651.39500000005</v>
      </c>
      <c r="E22" s="3">
        <f>E23+SUM(E26:E36)</f>
        <v>211063.94000000003</v>
      </c>
      <c r="F22" s="30">
        <f t="shared" si="1"/>
        <v>1.2296080669778418</v>
      </c>
      <c r="G22" s="3">
        <f>G23+SUM(G26:G36)</f>
        <v>193351.595</v>
      </c>
      <c r="H22" s="103">
        <f>H23+SUM(H26:H36)</f>
        <v>345067.37999999995</v>
      </c>
      <c r="I22" s="30">
        <f t="shared" si="2"/>
        <v>1.7846627021618309</v>
      </c>
      <c r="J22" s="3">
        <f t="shared" si="3"/>
        <v>365002.99000000005</v>
      </c>
      <c r="K22" s="3">
        <f t="shared" si="5"/>
        <v>556131.32</v>
      </c>
      <c r="L22" s="30">
        <f t="shared" si="4"/>
        <v>1.523634970771061</v>
      </c>
      <c r="M22" s="97">
        <f>(294423.15+258482.88)/2</f>
        <v>276453.015</v>
      </c>
      <c r="N22" s="97">
        <f>N23+N26+N27+N28+N31+N32+N33+N34+N35+N36</f>
        <v>279055.621</v>
      </c>
      <c r="O22" s="124">
        <f t="shared" si="0"/>
        <v>1.0094142796742511</v>
      </c>
    </row>
    <row r="23" spans="1:15" s="2" customFormat="1" ht="18" customHeight="1">
      <c r="A23" s="53" t="s">
        <v>30</v>
      </c>
      <c r="B23" s="43" t="s">
        <v>14</v>
      </c>
      <c r="C23" s="40" t="s">
        <v>6</v>
      </c>
      <c r="D23" s="4">
        <f>D24+D25</f>
        <v>26079.53</v>
      </c>
      <c r="E23" s="41">
        <f>E24+E25</f>
        <v>31480.170000000002</v>
      </c>
      <c r="F23" s="42">
        <f t="shared" si="1"/>
        <v>1.2070834865505629</v>
      </c>
      <c r="G23" s="4">
        <f>G24+G25</f>
        <v>32597.195</v>
      </c>
      <c r="H23" s="104">
        <f>H24+H25</f>
        <v>54946.58</v>
      </c>
      <c r="I23" s="42">
        <f t="shared" si="2"/>
        <v>1.6856229500728515</v>
      </c>
      <c r="J23" s="4">
        <f t="shared" si="3"/>
        <v>58676.725</v>
      </c>
      <c r="K23" s="4">
        <f t="shared" si="5"/>
        <v>86426.75</v>
      </c>
      <c r="L23" s="42">
        <f t="shared" si="4"/>
        <v>1.4729307063405466</v>
      </c>
      <c r="M23" s="99">
        <f>(52159.06+65194.39)/2</f>
        <v>58676.725</v>
      </c>
      <c r="N23" s="99">
        <f>N24+N25</f>
        <v>65836.17</v>
      </c>
      <c r="O23" s="126">
        <f t="shared" si="0"/>
        <v>1.1220150749722313</v>
      </c>
    </row>
    <row r="24" spans="1:15" s="5" customFormat="1" ht="18" customHeight="1" hidden="1">
      <c r="A24" s="54"/>
      <c r="B24" s="55" t="s">
        <v>105</v>
      </c>
      <c r="C24" s="56" t="s">
        <v>6</v>
      </c>
      <c r="D24" s="4">
        <f>46878.21/2</f>
        <v>23439.105</v>
      </c>
      <c r="E24" s="41">
        <v>28319.83</v>
      </c>
      <c r="F24" s="42">
        <f t="shared" si="1"/>
        <v>1.2082300070757823</v>
      </c>
      <c r="G24" s="4">
        <f>58543.81/2</f>
        <v>29271.905</v>
      </c>
      <c r="H24" s="104">
        <f>49358.69+83.11</f>
        <v>49441.8</v>
      </c>
      <c r="I24" s="42">
        <f t="shared" si="2"/>
        <v>1.6890530356667939</v>
      </c>
      <c r="J24" s="4">
        <f t="shared" si="3"/>
        <v>52711.009999999995</v>
      </c>
      <c r="K24" s="4">
        <f t="shared" si="5"/>
        <v>77761.63</v>
      </c>
      <c r="L24" s="42">
        <f t="shared" si="4"/>
        <v>1.4752445456840992</v>
      </c>
      <c r="M24" s="99">
        <f>J24</f>
        <v>52711.009999999995</v>
      </c>
      <c r="N24" s="99">
        <v>59230.43</v>
      </c>
      <c r="O24" s="126">
        <f t="shared" si="0"/>
        <v>1.1236823198796608</v>
      </c>
    </row>
    <row r="25" spans="1:15" s="5" customFormat="1" ht="18" customHeight="1" hidden="1">
      <c r="A25" s="54"/>
      <c r="B25" s="57" t="s">
        <v>104</v>
      </c>
      <c r="C25" s="56" t="s">
        <v>6</v>
      </c>
      <c r="D25" s="4">
        <f>5280.85/2</f>
        <v>2640.425</v>
      </c>
      <c r="E25" s="41">
        <f>3160.34</f>
        <v>3160.34</v>
      </c>
      <c r="F25" s="42">
        <f t="shared" si="1"/>
        <v>1.1969058011494362</v>
      </c>
      <c r="G25" s="4">
        <f>6650.58/2</f>
        <v>3325.29</v>
      </c>
      <c r="H25" s="104">
        <v>5504.78</v>
      </c>
      <c r="I25" s="42">
        <f t="shared" si="2"/>
        <v>1.6554285490889515</v>
      </c>
      <c r="J25" s="4">
        <f t="shared" si="3"/>
        <v>5965.715</v>
      </c>
      <c r="K25" s="4">
        <f t="shared" si="5"/>
        <v>8665.119999999999</v>
      </c>
      <c r="L25" s="42">
        <f t="shared" si="4"/>
        <v>1.4524864161294997</v>
      </c>
      <c r="M25" s="99">
        <f>J25</f>
        <v>5965.715</v>
      </c>
      <c r="N25" s="99">
        <v>6605.74</v>
      </c>
      <c r="O25" s="126">
        <f t="shared" si="0"/>
        <v>1.1072838712543256</v>
      </c>
    </row>
    <row r="26" spans="1:15" ht="18" customHeight="1">
      <c r="A26" s="58" t="s">
        <v>31</v>
      </c>
      <c r="B26" s="34" t="s">
        <v>32</v>
      </c>
      <c r="C26" s="9" t="s">
        <v>6</v>
      </c>
      <c r="D26" s="4">
        <f>(69923.19+48879.64)/2</f>
        <v>59401.415</v>
      </c>
      <c r="E26" s="4">
        <f>78668.54+25231.85</f>
        <v>103900.38999999998</v>
      </c>
      <c r="F26" s="35">
        <f t="shared" si="1"/>
        <v>1.7491231479923497</v>
      </c>
      <c r="G26" s="4">
        <f>38111.79+51430.88</f>
        <v>89542.67</v>
      </c>
      <c r="H26" s="104">
        <f>122533.12+37701.03</f>
        <v>160234.15</v>
      </c>
      <c r="I26" s="35">
        <f t="shared" si="2"/>
        <v>1.789472549791066</v>
      </c>
      <c r="J26" s="4">
        <f t="shared" si="3"/>
        <v>148944.085</v>
      </c>
      <c r="K26" s="4">
        <f t="shared" si="5"/>
        <v>264134.54</v>
      </c>
      <c r="L26" s="35">
        <f t="shared" si="4"/>
        <v>1.773380527330105</v>
      </c>
      <c r="M26" s="99">
        <f>(69923.19+51430.88)/2</f>
        <v>60677.035</v>
      </c>
      <c r="N26" s="99">
        <v>122550.83</v>
      </c>
      <c r="O26" s="125">
        <f t="shared" si="0"/>
        <v>2.0197234423204757</v>
      </c>
    </row>
    <row r="27" spans="1:15" ht="18" customHeight="1">
      <c r="A27" s="59" t="s">
        <v>33</v>
      </c>
      <c r="B27" s="60" t="s">
        <v>82</v>
      </c>
      <c r="C27" s="9" t="s">
        <v>6</v>
      </c>
      <c r="D27" s="4">
        <f>260.55/2</f>
        <v>130.275</v>
      </c>
      <c r="E27" s="6">
        <v>69.03</v>
      </c>
      <c r="F27" s="61">
        <f t="shared" si="1"/>
        <v>0.5298791018998272</v>
      </c>
      <c r="G27" s="4">
        <f>270.97/2</f>
        <v>135.485</v>
      </c>
      <c r="H27" s="104">
        <v>124.19</v>
      </c>
      <c r="I27" s="61">
        <f t="shared" si="2"/>
        <v>0.9166328375834962</v>
      </c>
      <c r="J27" s="4">
        <f t="shared" si="3"/>
        <v>265.76</v>
      </c>
      <c r="K27" s="4">
        <f t="shared" si="5"/>
        <v>193.22</v>
      </c>
      <c r="L27" s="61">
        <f t="shared" si="4"/>
        <v>0.7270469596628537</v>
      </c>
      <c r="M27" s="99">
        <f>(260.55+270.97)/2</f>
        <v>265.76</v>
      </c>
      <c r="N27" s="99">
        <v>124.19</v>
      </c>
      <c r="O27" s="127">
        <f t="shared" si="0"/>
        <v>0.46730132450331124</v>
      </c>
    </row>
    <row r="28" spans="1:15" s="5" customFormat="1" ht="18" customHeight="1">
      <c r="A28" s="59" t="s">
        <v>34</v>
      </c>
      <c r="B28" s="60" t="s">
        <v>119</v>
      </c>
      <c r="C28" s="9" t="s">
        <v>6</v>
      </c>
      <c r="D28" s="4">
        <f>(137150.5+52.95)/2</f>
        <v>68601.725</v>
      </c>
      <c r="E28" s="6">
        <v>57862.78</v>
      </c>
      <c r="F28" s="61">
        <f t="shared" si="1"/>
        <v>0.8434595485754913</v>
      </c>
      <c r="G28" s="4">
        <f>(97632.65+52.37)/2</f>
        <v>48842.509999999995</v>
      </c>
      <c r="H28" s="104">
        <f>197897.7/2</f>
        <v>98948.85</v>
      </c>
      <c r="I28" s="61">
        <f t="shared" si="2"/>
        <v>2.0258756153195243</v>
      </c>
      <c r="J28" s="4">
        <f t="shared" si="3"/>
        <v>117444.235</v>
      </c>
      <c r="K28" s="4">
        <f t="shared" si="5"/>
        <v>156811.63</v>
      </c>
      <c r="L28" s="61">
        <f t="shared" si="4"/>
        <v>1.3352007444213843</v>
      </c>
      <c r="M28" s="99">
        <f>M29+M30</f>
        <v>117444.235</v>
      </c>
      <c r="N28" s="99">
        <f>N29+N30</f>
        <v>57914.945999999996</v>
      </c>
      <c r="O28" s="127">
        <f t="shared" si="0"/>
        <v>0.49312719351443685</v>
      </c>
    </row>
    <row r="29" spans="1:15" s="5" customFormat="1" ht="18" customHeight="1">
      <c r="A29" s="62"/>
      <c r="B29" s="63" t="s">
        <v>117</v>
      </c>
      <c r="C29" s="15" t="s">
        <v>6</v>
      </c>
      <c r="D29" s="64"/>
      <c r="E29" s="64"/>
      <c r="F29" s="65"/>
      <c r="G29" s="64"/>
      <c r="H29" s="104"/>
      <c r="I29" s="65"/>
      <c r="J29" s="64"/>
      <c r="K29" s="64"/>
      <c r="L29" s="65"/>
      <c r="M29" s="119">
        <f>(137150.5+97632.65)/2</f>
        <v>117391.575</v>
      </c>
      <c r="N29" s="119">
        <v>57862.63</v>
      </c>
      <c r="O29" s="128">
        <f t="shared" si="0"/>
        <v>0.4929027487705144</v>
      </c>
    </row>
    <row r="30" spans="1:15" s="5" customFormat="1" ht="18" customHeight="1">
      <c r="A30" s="62"/>
      <c r="B30" s="63" t="s">
        <v>118</v>
      </c>
      <c r="C30" s="15" t="s">
        <v>6</v>
      </c>
      <c r="D30" s="64"/>
      <c r="E30" s="64"/>
      <c r="F30" s="65"/>
      <c r="G30" s="64"/>
      <c r="H30" s="104"/>
      <c r="I30" s="65"/>
      <c r="J30" s="64"/>
      <c r="K30" s="64"/>
      <c r="L30" s="65"/>
      <c r="M30" s="119">
        <f>(52.95+52.37)/2</f>
        <v>52.66</v>
      </c>
      <c r="N30" s="119">
        <v>52.316</v>
      </c>
      <c r="O30" s="128">
        <f t="shared" si="0"/>
        <v>0.9934675275351311</v>
      </c>
    </row>
    <row r="31" spans="1:15" ht="18" customHeight="1">
      <c r="A31" s="66" t="s">
        <v>35</v>
      </c>
      <c r="B31" s="34" t="s">
        <v>36</v>
      </c>
      <c r="C31" s="9" t="s">
        <v>6</v>
      </c>
      <c r="D31" s="4">
        <f>15417.27/2</f>
        <v>7708.635</v>
      </c>
      <c r="E31" s="4">
        <v>6423.67</v>
      </c>
      <c r="F31" s="35"/>
      <c r="G31" s="4">
        <f>14109.02/2</f>
        <v>7054.51</v>
      </c>
      <c r="H31" s="104">
        <v>10817.98</v>
      </c>
      <c r="I31" s="35"/>
      <c r="J31" s="4">
        <f t="shared" si="3"/>
        <v>14763.145</v>
      </c>
      <c r="K31" s="4">
        <f t="shared" si="5"/>
        <v>17241.65</v>
      </c>
      <c r="L31" s="35"/>
      <c r="M31" s="99">
        <f>(15417.27+14109.02)/2</f>
        <v>14763.145</v>
      </c>
      <c r="N31" s="99">
        <v>14763.15</v>
      </c>
      <c r="O31" s="125">
        <f aca="true" t="shared" si="6" ref="O31:O42">N31/M31</f>
        <v>1.0000003386812226</v>
      </c>
    </row>
    <row r="32" spans="1:15" ht="18" customHeight="1">
      <c r="A32" s="66" t="s">
        <v>37</v>
      </c>
      <c r="B32" s="34" t="s">
        <v>38</v>
      </c>
      <c r="C32" s="9" t="s">
        <v>6</v>
      </c>
      <c r="D32" s="4">
        <f>1052.09/2</f>
        <v>526.045</v>
      </c>
      <c r="E32" s="4">
        <v>324.78</v>
      </c>
      <c r="F32" s="35"/>
      <c r="G32" s="4">
        <f>713.62/2</f>
        <v>356.81</v>
      </c>
      <c r="H32" s="104">
        <v>541.3</v>
      </c>
      <c r="I32" s="35"/>
      <c r="J32" s="4">
        <f t="shared" si="3"/>
        <v>882.855</v>
      </c>
      <c r="K32" s="4">
        <f t="shared" si="5"/>
        <v>866.0799999999999</v>
      </c>
      <c r="L32" s="35"/>
      <c r="M32" s="99">
        <f>(1052.09+713.62)/2</f>
        <v>882.855</v>
      </c>
      <c r="N32" s="99">
        <v>882.86</v>
      </c>
      <c r="O32" s="125">
        <f t="shared" si="6"/>
        <v>1.000005663444167</v>
      </c>
    </row>
    <row r="33" spans="1:15" ht="18" customHeight="1">
      <c r="A33" s="66" t="s">
        <v>39</v>
      </c>
      <c r="B33" s="34" t="s">
        <v>40</v>
      </c>
      <c r="C33" s="9" t="s">
        <v>6</v>
      </c>
      <c r="D33" s="4">
        <f>187/2</f>
        <v>93.5</v>
      </c>
      <c r="E33" s="4">
        <v>96.52</v>
      </c>
      <c r="F33" s="35">
        <f t="shared" si="1"/>
        <v>1.0322994652406416</v>
      </c>
      <c r="G33" s="4">
        <f>237.25/2</f>
        <v>118.625</v>
      </c>
      <c r="H33" s="104">
        <v>184.59</v>
      </c>
      <c r="I33" s="35">
        <f t="shared" si="2"/>
        <v>1.5560800842992624</v>
      </c>
      <c r="J33" s="4">
        <f t="shared" si="3"/>
        <v>212.125</v>
      </c>
      <c r="K33" s="4">
        <f t="shared" si="5"/>
        <v>281.11</v>
      </c>
      <c r="L33" s="35">
        <f t="shared" si="4"/>
        <v>1.3252091926929876</v>
      </c>
      <c r="M33" s="99">
        <f>(187+237.25)/2</f>
        <v>212.125</v>
      </c>
      <c r="N33" s="99">
        <v>254.145</v>
      </c>
      <c r="O33" s="125">
        <f t="shared" si="6"/>
        <v>1.1980907483794934</v>
      </c>
    </row>
    <row r="34" spans="1:15" ht="18" customHeight="1">
      <c r="A34" s="66" t="s">
        <v>41</v>
      </c>
      <c r="B34" s="34" t="s">
        <v>42</v>
      </c>
      <c r="C34" s="9" t="s">
        <v>6</v>
      </c>
      <c r="D34" s="4">
        <f>769.49/2</f>
        <v>384.745</v>
      </c>
      <c r="E34" s="4">
        <v>505.64</v>
      </c>
      <c r="F34" s="35">
        <f t="shared" si="1"/>
        <v>1.314221107486777</v>
      </c>
      <c r="G34" s="4">
        <f>565.85</f>
        <v>565.85</v>
      </c>
      <c r="H34" s="104">
        <v>602.23</v>
      </c>
      <c r="I34" s="35">
        <f t="shared" si="2"/>
        <v>1.064292657064593</v>
      </c>
      <c r="J34" s="4">
        <f t="shared" si="3"/>
        <v>950.595</v>
      </c>
      <c r="K34" s="4">
        <f t="shared" si="5"/>
        <v>1107.87</v>
      </c>
      <c r="L34" s="35">
        <f t="shared" si="4"/>
        <v>1.1654490082527258</v>
      </c>
      <c r="M34" s="99">
        <f>(769.49+565.85)/2</f>
        <v>667.6700000000001</v>
      </c>
      <c r="N34" s="99">
        <v>856.2</v>
      </c>
      <c r="O34" s="125">
        <f t="shared" si="6"/>
        <v>1.2823700331001842</v>
      </c>
    </row>
    <row r="35" spans="1:15" ht="18" customHeight="1">
      <c r="A35" s="66" t="s">
        <v>43</v>
      </c>
      <c r="B35" s="34" t="s">
        <v>83</v>
      </c>
      <c r="C35" s="9" t="s">
        <v>6</v>
      </c>
      <c r="D35" s="4">
        <f>1636.53/2</f>
        <v>818.265</v>
      </c>
      <c r="E35" s="4">
        <v>891.01</v>
      </c>
      <c r="F35" s="35">
        <f t="shared" si="1"/>
        <v>1.0889015172346368</v>
      </c>
      <c r="G35" s="4">
        <f>2451.76/2</f>
        <v>1225.88</v>
      </c>
      <c r="H35" s="104">
        <v>1364.22</v>
      </c>
      <c r="I35" s="35">
        <f t="shared" si="2"/>
        <v>1.1128495448167846</v>
      </c>
      <c r="J35" s="4">
        <f t="shared" si="3"/>
        <v>2044.145</v>
      </c>
      <c r="K35" s="4">
        <f t="shared" si="5"/>
        <v>2255.23</v>
      </c>
      <c r="L35" s="35">
        <f t="shared" si="4"/>
        <v>1.1032632225209074</v>
      </c>
      <c r="M35" s="99">
        <f>(1636.53+2451.76)/2</f>
        <v>2044.145</v>
      </c>
      <c r="N35" s="99">
        <v>1637.07</v>
      </c>
      <c r="O35" s="125">
        <f t="shared" si="6"/>
        <v>0.8008580604604859</v>
      </c>
    </row>
    <row r="36" spans="1:18" ht="18" customHeight="1" thickBot="1">
      <c r="A36" s="67" t="s">
        <v>44</v>
      </c>
      <c r="B36" s="43" t="s">
        <v>45</v>
      </c>
      <c r="C36" s="40" t="s">
        <v>6</v>
      </c>
      <c r="D36" s="4">
        <f>(153017.97-137203.45)/2</f>
        <v>7907.259999999995</v>
      </c>
      <c r="E36" s="68">
        <f>(5670.34+3839.61)</f>
        <v>9509.95</v>
      </c>
      <c r="F36" s="69">
        <f t="shared" si="1"/>
        <v>1.2026858861350211</v>
      </c>
      <c r="G36" s="4">
        <f>(123509.14-97685.02)/2</f>
        <v>12912.059999999998</v>
      </c>
      <c r="H36" s="104">
        <v>17303.29</v>
      </c>
      <c r="I36" s="69">
        <f t="shared" si="2"/>
        <v>1.3400874841040085</v>
      </c>
      <c r="J36" s="4">
        <f t="shared" si="3"/>
        <v>20819.319999999992</v>
      </c>
      <c r="K36" s="4">
        <f t="shared" si="5"/>
        <v>26813.24</v>
      </c>
      <c r="L36" s="69">
        <f t="shared" si="4"/>
        <v>1.2879018142763554</v>
      </c>
      <c r="M36" s="99">
        <f>M22-M23-M26-M27-M28-M31-M33-M32-M35-M34</f>
        <v>20819.319999999992</v>
      </c>
      <c r="N36" s="99">
        <v>14236.06</v>
      </c>
      <c r="O36" s="129">
        <f t="shared" si="6"/>
        <v>0.683790825060569</v>
      </c>
      <c r="P36" s="132"/>
      <c r="Q36" s="133"/>
      <c r="R36" s="133"/>
    </row>
    <row r="37" spans="1:15" s="8" customFormat="1" ht="13.5">
      <c r="A37" s="134">
        <v>8</v>
      </c>
      <c r="B37" s="29" t="s">
        <v>46</v>
      </c>
      <c r="C37" s="24" t="s">
        <v>6</v>
      </c>
      <c r="D37" s="26">
        <f>SUM(D39:D46)</f>
        <v>44922.785</v>
      </c>
      <c r="E37" s="26">
        <f>SUM(E39:E46)</f>
        <v>49458.16</v>
      </c>
      <c r="F37" s="70">
        <f t="shared" si="1"/>
        <v>1.1009593461313674</v>
      </c>
      <c r="G37" s="26">
        <f>SUM(G39:G46)</f>
        <v>62180.76</v>
      </c>
      <c r="H37" s="105">
        <f>SUM(H39:H46)</f>
        <v>82557.11</v>
      </c>
      <c r="I37" s="70">
        <f t="shared" si="2"/>
        <v>1.3276954157523966</v>
      </c>
      <c r="J37" s="26">
        <f t="shared" si="3"/>
        <v>107103.54500000001</v>
      </c>
      <c r="K37" s="26">
        <f t="shared" si="5"/>
        <v>132015.27000000002</v>
      </c>
      <c r="L37" s="70">
        <f t="shared" si="4"/>
        <v>1.2325947754577125</v>
      </c>
      <c r="M37" s="120">
        <f>(89845.57+121257.5)/2</f>
        <v>105551.535</v>
      </c>
      <c r="N37" s="120">
        <f>SUM(N39:N47)</f>
        <v>118847.13200000001</v>
      </c>
      <c r="O37" s="130">
        <f t="shared" si="6"/>
        <v>1.1259630852360414</v>
      </c>
    </row>
    <row r="38" spans="1:15" s="8" customFormat="1" ht="13.5">
      <c r="A38" s="45" t="s">
        <v>123</v>
      </c>
      <c r="B38" s="43" t="s">
        <v>120</v>
      </c>
      <c r="C38" s="9" t="s">
        <v>6</v>
      </c>
      <c r="D38" s="26">
        <f>D39+D40</f>
        <v>31721.485</v>
      </c>
      <c r="E38" s="26">
        <f>E39+E40</f>
        <v>34194.270000000004</v>
      </c>
      <c r="F38" s="70">
        <f t="shared" si="1"/>
        <v>1.0779530025154875</v>
      </c>
      <c r="G38" s="26">
        <f>G39+G40</f>
        <v>57109.39</v>
      </c>
      <c r="H38" s="105">
        <f>H39+H40</f>
        <v>57410.48</v>
      </c>
      <c r="I38" s="70">
        <f t="shared" si="2"/>
        <v>1.0052721627739327</v>
      </c>
      <c r="J38" s="26">
        <f>J39+J40</f>
        <v>88830.875</v>
      </c>
      <c r="K38" s="26">
        <f t="shared" si="5"/>
        <v>91604.75</v>
      </c>
      <c r="L38" s="70">
        <f t="shared" si="4"/>
        <v>1.0312264739033585</v>
      </c>
      <c r="M38" s="121">
        <f>(57019.68+105961.87+6423.29+8256.91)/2</f>
        <v>88830.875</v>
      </c>
      <c r="N38" s="121">
        <f>N39+N40</f>
        <v>68892.56999999999</v>
      </c>
      <c r="O38" s="127">
        <f t="shared" si="6"/>
        <v>0.7755475784742635</v>
      </c>
    </row>
    <row r="39" spans="1:15" ht="17.25" customHeight="1" hidden="1">
      <c r="A39" s="71" t="s">
        <v>47</v>
      </c>
      <c r="B39" s="43" t="s">
        <v>106</v>
      </c>
      <c r="C39" s="40" t="s">
        <v>6</v>
      </c>
      <c r="D39" s="41">
        <f>57019.68/2</f>
        <v>28509.84</v>
      </c>
      <c r="E39" s="41">
        <v>30739.68</v>
      </c>
      <c r="F39" s="69">
        <f t="shared" si="1"/>
        <v>1.0782129959340354</v>
      </c>
      <c r="G39" s="41">
        <f>105961.87/2</f>
        <v>52980.935</v>
      </c>
      <c r="H39" s="104">
        <v>51647.04</v>
      </c>
      <c r="I39" s="69">
        <f t="shared" si="2"/>
        <v>0.9748231132576275</v>
      </c>
      <c r="J39" s="41">
        <f>D39+G39</f>
        <v>81490.775</v>
      </c>
      <c r="K39" s="41">
        <f t="shared" si="5"/>
        <v>82386.72</v>
      </c>
      <c r="L39" s="69">
        <f t="shared" si="4"/>
        <v>1.0109944346461304</v>
      </c>
      <c r="M39" s="122">
        <f>J39</f>
        <v>81490.775</v>
      </c>
      <c r="N39" s="122">
        <v>61976.45</v>
      </c>
      <c r="O39" s="129">
        <f t="shared" si="6"/>
        <v>0.760533324170742</v>
      </c>
    </row>
    <row r="40" spans="1:15" ht="17.25" customHeight="1" hidden="1">
      <c r="A40" s="71" t="s">
        <v>48</v>
      </c>
      <c r="B40" s="43" t="s">
        <v>107</v>
      </c>
      <c r="C40" s="40" t="s">
        <v>6</v>
      </c>
      <c r="D40" s="41">
        <f>6423.29/2</f>
        <v>3211.645</v>
      </c>
      <c r="E40" s="41">
        <v>3454.59</v>
      </c>
      <c r="F40" s="42">
        <f t="shared" si="1"/>
        <v>1.0756450354880442</v>
      </c>
      <c r="G40" s="41">
        <f>8256.91/2</f>
        <v>4128.455</v>
      </c>
      <c r="H40" s="104">
        <v>5763.44</v>
      </c>
      <c r="I40" s="42">
        <f t="shared" si="2"/>
        <v>1.3960282962997053</v>
      </c>
      <c r="J40" s="41">
        <f t="shared" si="3"/>
        <v>7340.1</v>
      </c>
      <c r="K40" s="41">
        <f t="shared" si="5"/>
        <v>9218.029999999999</v>
      </c>
      <c r="L40" s="42">
        <f t="shared" si="4"/>
        <v>1.255845288211332</v>
      </c>
      <c r="M40" s="122">
        <f>J40</f>
        <v>7340.1</v>
      </c>
      <c r="N40" s="122">
        <v>6916.12</v>
      </c>
      <c r="O40" s="126">
        <f t="shared" si="6"/>
        <v>0.9422378441710603</v>
      </c>
    </row>
    <row r="41" spans="1:15" ht="17.25" customHeight="1">
      <c r="A41" s="71" t="s">
        <v>49</v>
      </c>
      <c r="B41" s="72" t="s">
        <v>108</v>
      </c>
      <c r="C41" s="40" t="s">
        <v>6</v>
      </c>
      <c r="D41" s="41">
        <f>1260.71/2</f>
        <v>630.355</v>
      </c>
      <c r="E41" s="41">
        <v>1272.79</v>
      </c>
      <c r="F41" s="69"/>
      <c r="G41" s="41">
        <f>1152.02/2</f>
        <v>576.01</v>
      </c>
      <c r="H41" s="104">
        <v>2000.92</v>
      </c>
      <c r="I41" s="69"/>
      <c r="J41" s="41">
        <f t="shared" si="3"/>
        <v>1206.365</v>
      </c>
      <c r="K41" s="41">
        <f t="shared" si="5"/>
        <v>3273.71</v>
      </c>
      <c r="L41" s="69">
        <f t="shared" si="4"/>
        <v>2.7136977614569386</v>
      </c>
      <c r="M41" s="122">
        <f>(1260.71+1152.02)/2</f>
        <v>1206.365</v>
      </c>
      <c r="N41" s="122">
        <v>1206.37</v>
      </c>
      <c r="O41" s="126">
        <f t="shared" si="6"/>
        <v>1.0000041446825794</v>
      </c>
    </row>
    <row r="42" spans="1:15" ht="17.25" customHeight="1">
      <c r="A42" s="71" t="s">
        <v>50</v>
      </c>
      <c r="B42" s="72" t="s">
        <v>38</v>
      </c>
      <c r="C42" s="40" t="s">
        <v>6</v>
      </c>
      <c r="D42" s="41">
        <f>20.76/2</f>
        <v>10.38</v>
      </c>
      <c r="E42" s="68">
        <v>0</v>
      </c>
      <c r="F42" s="69"/>
      <c r="G42" s="41">
        <v>0</v>
      </c>
      <c r="H42" s="104"/>
      <c r="I42" s="69"/>
      <c r="J42" s="41">
        <f t="shared" si="3"/>
        <v>10.38</v>
      </c>
      <c r="K42" s="41">
        <f t="shared" si="5"/>
        <v>0</v>
      </c>
      <c r="L42" s="69">
        <f t="shared" si="4"/>
        <v>0</v>
      </c>
      <c r="M42" s="122">
        <f>20.76/2</f>
        <v>10.38</v>
      </c>
      <c r="N42" s="122">
        <v>10.38</v>
      </c>
      <c r="O42" s="126">
        <f t="shared" si="6"/>
        <v>1</v>
      </c>
    </row>
    <row r="43" spans="1:15" ht="17.25" customHeight="1">
      <c r="A43" s="71" t="s">
        <v>51</v>
      </c>
      <c r="B43" s="43" t="s">
        <v>40</v>
      </c>
      <c r="C43" s="40" t="s">
        <v>6</v>
      </c>
      <c r="D43" s="41">
        <f>355.63/2</f>
        <v>177.815</v>
      </c>
      <c r="E43" s="41">
        <v>183.28</v>
      </c>
      <c r="F43" s="69">
        <f t="shared" si="1"/>
        <v>1.0307341900289626</v>
      </c>
      <c r="G43" s="41">
        <f>469.41</f>
        <v>469.41</v>
      </c>
      <c r="H43" s="104">
        <v>228.56</v>
      </c>
      <c r="I43" s="69">
        <f t="shared" si="2"/>
        <v>0.4869090986557593</v>
      </c>
      <c r="J43" s="41">
        <f t="shared" si="3"/>
        <v>647.225</v>
      </c>
      <c r="K43" s="41">
        <f t="shared" si="5"/>
        <v>411.84000000000003</v>
      </c>
      <c r="L43" s="69">
        <f t="shared" si="4"/>
        <v>0.6363165823322647</v>
      </c>
      <c r="M43" s="122">
        <f>(355.63+469.41)/2</f>
        <v>412.52</v>
      </c>
      <c r="N43" s="122">
        <v>428.492</v>
      </c>
      <c r="O43" s="129">
        <f aca="true" t="shared" si="7" ref="O43:O48">N43/M43</f>
        <v>1.0387181227576845</v>
      </c>
    </row>
    <row r="44" spans="1:15" ht="17.25" customHeight="1">
      <c r="A44" s="71" t="s">
        <v>52</v>
      </c>
      <c r="B44" s="43" t="s">
        <v>42</v>
      </c>
      <c r="C44" s="40" t="s">
        <v>6</v>
      </c>
      <c r="D44" s="41">
        <f>518.62/2</f>
        <v>259.31</v>
      </c>
      <c r="E44" s="41">
        <v>338.25</v>
      </c>
      <c r="F44" s="69">
        <f t="shared" si="1"/>
        <v>1.3044232771586133</v>
      </c>
      <c r="G44" s="41">
        <f>327.22</f>
        <v>327.22</v>
      </c>
      <c r="H44" s="104">
        <v>340.71</v>
      </c>
      <c r="I44" s="69">
        <f t="shared" si="2"/>
        <v>1.041226086425035</v>
      </c>
      <c r="J44" s="41">
        <f t="shared" si="3"/>
        <v>586.53</v>
      </c>
      <c r="K44" s="41">
        <f t="shared" si="5"/>
        <v>678.96</v>
      </c>
      <c r="L44" s="69">
        <f t="shared" si="4"/>
        <v>1.157587847168943</v>
      </c>
      <c r="M44" s="122">
        <f>(518.62+327.22)/2</f>
        <v>422.92</v>
      </c>
      <c r="N44" s="122">
        <v>503.21</v>
      </c>
      <c r="O44" s="129">
        <f t="shared" si="7"/>
        <v>1.189846779532772</v>
      </c>
    </row>
    <row r="45" spans="1:15" ht="17.25" customHeight="1">
      <c r="A45" s="71" t="s">
        <v>53</v>
      </c>
      <c r="B45" s="43" t="s">
        <v>109</v>
      </c>
      <c r="C45" s="40" t="s">
        <v>6</v>
      </c>
      <c r="D45" s="41">
        <f>230.56/2</f>
        <v>115.28</v>
      </c>
      <c r="E45" s="41">
        <v>296.11</v>
      </c>
      <c r="F45" s="69">
        <f t="shared" si="1"/>
        <v>2.568615544760583</v>
      </c>
      <c r="G45" s="41">
        <f>2307.38</f>
        <v>2307.38</v>
      </c>
      <c r="H45" s="104">
        <v>459.19</v>
      </c>
      <c r="I45" s="69">
        <f t="shared" si="2"/>
        <v>0.19900926592065457</v>
      </c>
      <c r="J45" s="41">
        <f t="shared" si="3"/>
        <v>2422.6600000000003</v>
      </c>
      <c r="K45" s="41">
        <f t="shared" si="5"/>
        <v>755.3</v>
      </c>
      <c r="L45" s="69">
        <f t="shared" si="4"/>
        <v>0.3117647544434629</v>
      </c>
      <c r="M45" s="122">
        <f>(230.56+2307.38)/2</f>
        <v>1268.97</v>
      </c>
      <c r="N45" s="122">
        <v>551.02</v>
      </c>
      <c r="O45" s="129">
        <f t="shared" si="7"/>
        <v>0.4342261834401128</v>
      </c>
    </row>
    <row r="46" spans="1:15" ht="17.25" customHeight="1" thickBot="1">
      <c r="A46" s="117" t="s">
        <v>54</v>
      </c>
      <c r="B46" s="39" t="s">
        <v>110</v>
      </c>
      <c r="C46" s="40" t="s">
        <v>6</v>
      </c>
      <c r="D46" s="41">
        <f>24016.32/2</f>
        <v>12008.16</v>
      </c>
      <c r="E46" s="68">
        <v>13173.46</v>
      </c>
      <c r="F46" s="69">
        <f t="shared" si="1"/>
        <v>1.0970423445390467</v>
      </c>
      <c r="G46" s="41">
        <f>2782.7/2</f>
        <v>1391.35</v>
      </c>
      <c r="H46" s="104">
        <v>22117.25</v>
      </c>
      <c r="I46" s="69">
        <f t="shared" si="2"/>
        <v>15.896251841736444</v>
      </c>
      <c r="J46" s="41">
        <f t="shared" si="3"/>
        <v>13399.51</v>
      </c>
      <c r="K46" s="41">
        <f t="shared" si="5"/>
        <v>35290.71</v>
      </c>
      <c r="L46" s="69">
        <f t="shared" si="4"/>
        <v>2.633731382714741</v>
      </c>
      <c r="M46" s="122">
        <f>M37-M38-M41-M43-M42-M44-M45</f>
        <v>13399.505000000005</v>
      </c>
      <c r="N46" s="122">
        <f>26540.69</f>
        <v>26540.69</v>
      </c>
      <c r="O46" s="129">
        <f t="shared" si="7"/>
        <v>1.9807216759126542</v>
      </c>
    </row>
    <row r="47" spans="1:15" ht="24" customHeight="1" hidden="1" thickBot="1">
      <c r="A47" s="118" t="s">
        <v>121</v>
      </c>
      <c r="B47" s="39" t="s">
        <v>122</v>
      </c>
      <c r="C47" s="40" t="s">
        <v>6</v>
      </c>
      <c r="D47" s="41"/>
      <c r="E47" s="68"/>
      <c r="F47" s="69"/>
      <c r="G47" s="41"/>
      <c r="H47" s="104"/>
      <c r="I47" s="69"/>
      <c r="J47" s="41"/>
      <c r="K47" s="41"/>
      <c r="L47" s="69"/>
      <c r="M47" s="122">
        <v>0</v>
      </c>
      <c r="N47" s="122">
        <v>20714.4</v>
      </c>
      <c r="O47" s="129"/>
    </row>
    <row r="48" spans="1:15" ht="17.25" customHeight="1" thickBot="1">
      <c r="A48" s="74" t="s">
        <v>55</v>
      </c>
      <c r="B48" s="75" t="s">
        <v>56</v>
      </c>
      <c r="C48" s="76" t="s">
        <v>6</v>
      </c>
      <c r="D48" s="77">
        <f>D5+D21</f>
        <v>1166635.81</v>
      </c>
      <c r="E48" s="77">
        <f>E5+E21</f>
        <v>260522.10000000003</v>
      </c>
      <c r="F48" s="78">
        <f t="shared" si="1"/>
        <v>0.22331056338824368</v>
      </c>
      <c r="G48" s="77">
        <f>G5+G21</f>
        <v>1286586.0599999998</v>
      </c>
      <c r="H48" s="103">
        <f>H5+H21</f>
        <v>1618620.7999999998</v>
      </c>
      <c r="I48" s="78">
        <f t="shared" si="2"/>
        <v>1.258074255833302</v>
      </c>
      <c r="J48" s="77">
        <f t="shared" si="3"/>
        <v>2453221.87</v>
      </c>
      <c r="K48" s="77">
        <f t="shared" si="5"/>
        <v>1879142.9</v>
      </c>
      <c r="L48" s="78">
        <f t="shared" si="4"/>
        <v>0.7659897879517925</v>
      </c>
      <c r="M48" s="123">
        <f>M21+M5</f>
        <v>2270686.9000000004</v>
      </c>
      <c r="N48" s="123">
        <f>N5+N21</f>
        <v>2155577.093</v>
      </c>
      <c r="O48" s="131">
        <f t="shared" si="7"/>
        <v>0.9493061738278402</v>
      </c>
    </row>
    <row r="49" spans="1:15" ht="17.25" customHeight="1" thickBot="1">
      <c r="A49" s="74" t="s">
        <v>57</v>
      </c>
      <c r="B49" s="75" t="s">
        <v>84</v>
      </c>
      <c r="C49" s="76"/>
      <c r="D49" s="77">
        <f>135657.61</f>
        <v>135657.61</v>
      </c>
      <c r="E49" s="77">
        <f>E51-E48</f>
        <v>759340.6597217999</v>
      </c>
      <c r="F49" s="78">
        <f t="shared" si="1"/>
        <v>5.597479269477031</v>
      </c>
      <c r="G49" s="77">
        <v>172294.05</v>
      </c>
      <c r="H49" s="103">
        <f>H51-H48</f>
        <v>-1618620.7999999998</v>
      </c>
      <c r="I49" s="78">
        <f t="shared" si="2"/>
        <v>-9.394525231718681</v>
      </c>
      <c r="J49" s="77">
        <f t="shared" si="3"/>
        <v>307951.66</v>
      </c>
      <c r="K49" s="77">
        <f t="shared" si="5"/>
        <v>-859280.1402781999</v>
      </c>
      <c r="L49" s="78">
        <f t="shared" si="4"/>
        <v>-2.7903085188051917</v>
      </c>
      <c r="M49" s="123">
        <f>J49</f>
        <v>307951.66</v>
      </c>
      <c r="N49" s="123"/>
      <c r="O49" s="131"/>
    </row>
    <row r="50" spans="1:15" ht="17.25" customHeight="1" thickBot="1">
      <c r="A50" s="74"/>
      <c r="B50" s="75" t="s">
        <v>78</v>
      </c>
      <c r="C50" s="76"/>
      <c r="D50" s="77">
        <f>135657.61</f>
        <v>135657.61</v>
      </c>
      <c r="E50" s="77"/>
      <c r="F50" s="78"/>
      <c r="G50" s="77">
        <v>172294.05</v>
      </c>
      <c r="H50" s="106"/>
      <c r="I50" s="78"/>
      <c r="J50" s="77">
        <f t="shared" si="3"/>
        <v>307951.66</v>
      </c>
      <c r="K50" s="77">
        <f t="shared" si="5"/>
        <v>0</v>
      </c>
      <c r="L50" s="78"/>
      <c r="M50" s="123">
        <f>J50</f>
        <v>307951.66</v>
      </c>
      <c r="N50" s="123"/>
      <c r="O50" s="131"/>
    </row>
    <row r="51" spans="1:15" ht="17.25" customHeight="1" thickBot="1">
      <c r="A51" s="74" t="s">
        <v>58</v>
      </c>
      <c r="B51" s="79" t="s">
        <v>59</v>
      </c>
      <c r="C51" s="76" t="s">
        <v>6</v>
      </c>
      <c r="D51" s="77">
        <f>D48-100058</f>
        <v>1066577.81</v>
      </c>
      <c r="E51" s="77">
        <f>E55*D62</f>
        <v>1019862.7597218</v>
      </c>
      <c r="F51" s="78">
        <f t="shared" si="1"/>
        <v>0.95620099176993</v>
      </c>
      <c r="G51" s="77">
        <f>G48-135000</f>
        <v>1151586.0599999998</v>
      </c>
      <c r="H51" s="106">
        <f>H55*G61</f>
        <v>0</v>
      </c>
      <c r="I51" s="78">
        <f t="shared" si="2"/>
        <v>0</v>
      </c>
      <c r="J51" s="77">
        <f t="shared" si="3"/>
        <v>2218163.87</v>
      </c>
      <c r="K51" s="77">
        <f>K55*J63</f>
        <v>0</v>
      </c>
      <c r="L51" s="78">
        <f t="shared" si="4"/>
        <v>0</v>
      </c>
      <c r="M51" s="123">
        <f>J51</f>
        <v>2218163.87</v>
      </c>
      <c r="N51" s="123">
        <v>2268068.63</v>
      </c>
      <c r="O51" s="131">
        <f>N51/M51</f>
        <v>1.0224982295830107</v>
      </c>
    </row>
    <row r="52" spans="1:15" ht="42" customHeight="1" thickBot="1">
      <c r="A52" s="80"/>
      <c r="B52" s="75" t="s">
        <v>85</v>
      </c>
      <c r="C52" s="76"/>
      <c r="D52" s="77">
        <f>183418.99/2</f>
        <v>91709.495</v>
      </c>
      <c r="E52" s="77"/>
      <c r="F52" s="78"/>
      <c r="G52" s="77">
        <f>270000/2</f>
        <v>135000</v>
      </c>
      <c r="H52" s="106"/>
      <c r="I52" s="78"/>
      <c r="J52" s="77">
        <f t="shared" si="3"/>
        <v>226709.495</v>
      </c>
      <c r="K52" s="77">
        <f t="shared" si="5"/>
        <v>0</v>
      </c>
      <c r="L52" s="78"/>
      <c r="M52" s="123">
        <f>J52</f>
        <v>226709.495</v>
      </c>
      <c r="N52" s="123"/>
      <c r="O52" s="131"/>
    </row>
    <row r="53" spans="1:15" ht="42.75" customHeight="1" thickBot="1">
      <c r="A53" s="80"/>
      <c r="B53" s="75" t="s">
        <v>86</v>
      </c>
      <c r="C53" s="76"/>
      <c r="D53" s="77">
        <f>16697.1/2</f>
        <v>8348.55</v>
      </c>
      <c r="E53" s="77"/>
      <c r="F53" s="78"/>
      <c r="G53" s="77">
        <v>0</v>
      </c>
      <c r="H53" s="106"/>
      <c r="I53" s="78"/>
      <c r="J53" s="77">
        <f t="shared" si="3"/>
        <v>8348.55</v>
      </c>
      <c r="K53" s="77">
        <f t="shared" si="5"/>
        <v>0</v>
      </c>
      <c r="L53" s="78"/>
      <c r="M53" s="123">
        <f>J53</f>
        <v>8348.55</v>
      </c>
      <c r="N53" s="123"/>
      <c r="O53" s="131"/>
    </row>
    <row r="54" spans="1:15" ht="28.5" customHeight="1" thickBot="1">
      <c r="A54" s="80"/>
      <c r="B54" s="75" t="s">
        <v>87</v>
      </c>
      <c r="C54" s="76"/>
      <c r="D54" s="77">
        <f>2040324.29/2</f>
        <v>1020162.145</v>
      </c>
      <c r="E54" s="77"/>
      <c r="F54" s="78"/>
      <c r="G54" s="77">
        <f>2338885.08/2</f>
        <v>1169442.54</v>
      </c>
      <c r="H54" s="106"/>
      <c r="I54" s="78"/>
      <c r="J54" s="77">
        <f t="shared" si="3"/>
        <v>2189604.685</v>
      </c>
      <c r="K54" s="77">
        <f t="shared" si="5"/>
        <v>0</v>
      </c>
      <c r="L54" s="78"/>
      <c r="M54" s="123">
        <f>M51-M52-M53</f>
        <v>1983105.825</v>
      </c>
      <c r="N54" s="123">
        <f>N51-N52-N53</f>
        <v>2268068.63</v>
      </c>
      <c r="O54" s="131"/>
    </row>
    <row r="55" spans="1:15" s="8" customFormat="1" ht="21.75" customHeight="1" thickBot="1">
      <c r="A55" s="74" t="s">
        <v>60</v>
      </c>
      <c r="B55" s="79" t="s">
        <v>61</v>
      </c>
      <c r="C55" s="76" t="s">
        <v>62</v>
      </c>
      <c r="D55" s="77">
        <f>SUM(D56:D58)</f>
        <v>11277.15</v>
      </c>
      <c r="E55" s="77">
        <v>11274.18483</v>
      </c>
      <c r="F55" s="78">
        <f t="shared" si="1"/>
        <v>0.9997370638858223</v>
      </c>
      <c r="G55" s="77">
        <f>SUM(G56:G58)</f>
        <v>10831.365</v>
      </c>
      <c r="H55" s="106">
        <f>H56+H57+H58</f>
        <v>0</v>
      </c>
      <c r="I55" s="78">
        <f t="shared" si="2"/>
        <v>0</v>
      </c>
      <c r="J55" s="77">
        <f>D55+G55</f>
        <v>22108.515</v>
      </c>
      <c r="K55" s="77"/>
      <c r="L55" s="78">
        <f t="shared" si="4"/>
        <v>0</v>
      </c>
      <c r="M55" s="77">
        <f aca="true" t="shared" si="8" ref="M55:M60">J55</f>
        <v>22108.515</v>
      </c>
      <c r="N55" s="77">
        <v>22453.25</v>
      </c>
      <c r="O55" s="131">
        <f aca="true" t="shared" si="9" ref="O55:O60">N55/M55</f>
        <v>1.0155928609406828</v>
      </c>
    </row>
    <row r="56" spans="1:15" s="8" customFormat="1" ht="154.5" customHeight="1">
      <c r="A56" s="81"/>
      <c r="B56" s="60" t="s">
        <v>88</v>
      </c>
      <c r="C56" s="40" t="s">
        <v>62</v>
      </c>
      <c r="D56" s="41">
        <f>16960.45/2</f>
        <v>8480.225</v>
      </c>
      <c r="E56" s="41">
        <f>7216.95+2754.16</f>
        <v>9971.11</v>
      </c>
      <c r="F56" s="42">
        <f>E56/D56</f>
        <v>1.1758072456803919</v>
      </c>
      <c r="G56" s="41">
        <f>16291.03/2</f>
        <v>8145.515</v>
      </c>
      <c r="H56" s="107">
        <v>0</v>
      </c>
      <c r="I56" s="42">
        <f>H56/G56</f>
        <v>0</v>
      </c>
      <c r="J56" s="41">
        <f t="shared" si="3"/>
        <v>16625.74</v>
      </c>
      <c r="K56" s="41">
        <f t="shared" si="5"/>
        <v>9971.11</v>
      </c>
      <c r="L56" s="42">
        <f>K56/J56</f>
        <v>0.5997393198738823</v>
      </c>
      <c r="M56" s="41">
        <f t="shared" si="8"/>
        <v>16625.74</v>
      </c>
      <c r="N56" s="41">
        <f>16582.972+71.808</f>
        <v>16654.780000000002</v>
      </c>
      <c r="O56" s="126">
        <f t="shared" si="9"/>
        <v>1.0017466891699258</v>
      </c>
    </row>
    <row r="57" spans="1:15" s="8" customFormat="1" ht="27.75" customHeight="1">
      <c r="A57" s="82"/>
      <c r="B57" s="39" t="s">
        <v>89</v>
      </c>
      <c r="C57" s="40" t="s">
        <v>62</v>
      </c>
      <c r="D57" s="41">
        <f>1197.71/2</f>
        <v>598.855</v>
      </c>
      <c r="E57" s="41">
        <f>414.18</f>
        <v>414.18</v>
      </c>
      <c r="F57" s="42">
        <f>E57/D57</f>
        <v>0.6916198411969509</v>
      </c>
      <c r="G57" s="41">
        <f>1123.4/2</f>
        <v>561.7</v>
      </c>
      <c r="H57" s="107">
        <v>0</v>
      </c>
      <c r="I57" s="42">
        <f>H57/G57</f>
        <v>0</v>
      </c>
      <c r="J57" s="41">
        <f t="shared" si="3"/>
        <v>1160.555</v>
      </c>
      <c r="K57" s="41">
        <f t="shared" si="5"/>
        <v>414.18</v>
      </c>
      <c r="L57" s="42">
        <f>K57/J57</f>
        <v>0.35688097505073</v>
      </c>
      <c r="M57" s="41">
        <f t="shared" si="8"/>
        <v>1160.555</v>
      </c>
      <c r="N57" s="41">
        <v>1196.796</v>
      </c>
      <c r="O57" s="126">
        <f t="shared" si="9"/>
        <v>1.0312273007311157</v>
      </c>
    </row>
    <row r="58" spans="1:15" s="8" customFormat="1" ht="27.75" customHeight="1" thickBot="1">
      <c r="A58" s="82"/>
      <c r="B58" s="60" t="s">
        <v>90</v>
      </c>
      <c r="C58" s="40" t="s">
        <v>62</v>
      </c>
      <c r="D58" s="41">
        <f>4396.14/2</f>
        <v>2198.07</v>
      </c>
      <c r="E58" s="41">
        <f>2054.84</f>
        <v>2054.84</v>
      </c>
      <c r="F58" s="42">
        <f>E58/D58</f>
        <v>0.934838289954369</v>
      </c>
      <c r="G58" s="41">
        <f>4248.3/2</f>
        <v>2124.15</v>
      </c>
      <c r="H58" s="107">
        <v>0</v>
      </c>
      <c r="I58" s="42">
        <f>H58/G58</f>
        <v>0</v>
      </c>
      <c r="J58" s="41">
        <f t="shared" si="3"/>
        <v>4322.22</v>
      </c>
      <c r="K58" s="41">
        <f t="shared" si="5"/>
        <v>2054.84</v>
      </c>
      <c r="L58" s="42">
        <f>K58/J58</f>
        <v>0.475413097898765</v>
      </c>
      <c r="M58" s="41">
        <f t="shared" si="8"/>
        <v>4322.22</v>
      </c>
      <c r="N58" s="41">
        <f>N55-N56-N57</f>
        <v>4601.673999999997</v>
      </c>
      <c r="O58" s="126">
        <f t="shared" si="9"/>
        <v>1.0646552003368632</v>
      </c>
    </row>
    <row r="59" spans="1:15" s="8" customFormat="1" ht="15" customHeight="1" hidden="1">
      <c r="A59" s="83"/>
      <c r="B59" s="51" t="s">
        <v>91</v>
      </c>
      <c r="C59" s="24" t="s">
        <v>92</v>
      </c>
      <c r="D59" s="3"/>
      <c r="E59" s="3"/>
      <c r="F59" s="30" t="e">
        <f t="shared" si="1"/>
        <v>#DIV/0!</v>
      </c>
      <c r="G59" s="3"/>
      <c r="H59" s="106"/>
      <c r="I59" s="30" t="e">
        <f t="shared" si="2"/>
        <v>#DIV/0!</v>
      </c>
      <c r="J59" s="3">
        <f t="shared" si="3"/>
        <v>0</v>
      </c>
      <c r="K59" s="3">
        <f t="shared" si="5"/>
        <v>0</v>
      </c>
      <c r="L59" s="30" t="e">
        <f t="shared" si="4"/>
        <v>#DIV/0!</v>
      </c>
      <c r="M59" s="3">
        <f t="shared" si="8"/>
        <v>0</v>
      </c>
      <c r="N59" s="3">
        <f>H59+K59</f>
        <v>0</v>
      </c>
      <c r="O59" s="30" t="e">
        <f t="shared" si="9"/>
        <v>#DIV/0!</v>
      </c>
    </row>
    <row r="60" spans="1:15" ht="12.75" customHeight="1" hidden="1" thickBot="1">
      <c r="A60" s="84"/>
      <c r="B60" s="63" t="s">
        <v>93</v>
      </c>
      <c r="C60" s="24" t="s">
        <v>62</v>
      </c>
      <c r="D60" s="4"/>
      <c r="E60" s="4"/>
      <c r="F60" s="35" t="e">
        <f t="shared" si="1"/>
        <v>#DIV/0!</v>
      </c>
      <c r="G60" s="4"/>
      <c r="H60" s="107"/>
      <c r="I60" s="35" t="e">
        <f t="shared" si="2"/>
        <v>#DIV/0!</v>
      </c>
      <c r="J60" s="4">
        <f t="shared" si="3"/>
        <v>0</v>
      </c>
      <c r="K60" s="4">
        <f t="shared" si="5"/>
        <v>0</v>
      </c>
      <c r="L60" s="35" t="e">
        <f t="shared" si="4"/>
        <v>#DIV/0!</v>
      </c>
      <c r="M60" s="4">
        <f t="shared" si="8"/>
        <v>0</v>
      </c>
      <c r="N60" s="4">
        <f>H60+K60</f>
        <v>0</v>
      </c>
      <c r="O60" s="35" t="e">
        <f t="shared" si="9"/>
        <v>#DIV/0!</v>
      </c>
    </row>
    <row r="61" spans="1:15" ht="15" customHeight="1">
      <c r="A61" s="28" t="s">
        <v>63</v>
      </c>
      <c r="B61" s="51" t="s">
        <v>124</v>
      </c>
      <c r="C61" s="24"/>
      <c r="D61" s="3"/>
      <c r="E61" s="3"/>
      <c r="F61" s="30"/>
      <c r="G61" s="3"/>
      <c r="H61" s="103"/>
      <c r="I61" s="30"/>
      <c r="J61" s="3">
        <f t="shared" si="3"/>
        <v>0</v>
      </c>
      <c r="K61" s="3">
        <f t="shared" si="5"/>
        <v>0</v>
      </c>
      <c r="L61" s="30"/>
      <c r="M61" s="3"/>
      <c r="N61" s="3"/>
      <c r="O61" s="30"/>
    </row>
    <row r="62" spans="1:15" ht="15" customHeight="1">
      <c r="A62" s="71"/>
      <c r="B62" s="51" t="s">
        <v>112</v>
      </c>
      <c r="C62" s="24" t="s">
        <v>64</v>
      </c>
      <c r="D62" s="3">
        <v>90.46</v>
      </c>
      <c r="E62" s="3"/>
      <c r="F62" s="30"/>
      <c r="G62" s="3"/>
      <c r="H62" s="103"/>
      <c r="I62" s="30"/>
      <c r="J62" s="3">
        <f t="shared" si="3"/>
        <v>90.46</v>
      </c>
      <c r="K62" s="3">
        <f t="shared" si="5"/>
        <v>0</v>
      </c>
      <c r="L62" s="30"/>
      <c r="M62" s="3">
        <f>G62+J62</f>
        <v>90.46</v>
      </c>
      <c r="N62" s="147">
        <f>N54/N55</f>
        <v>101.01293264894836</v>
      </c>
      <c r="O62" s="30"/>
    </row>
    <row r="63" spans="1:15" ht="15" customHeight="1" thickBot="1">
      <c r="A63" s="73"/>
      <c r="B63" s="51" t="s">
        <v>113</v>
      </c>
      <c r="C63" s="24" t="s">
        <v>64</v>
      </c>
      <c r="D63" s="3">
        <v>107.97</v>
      </c>
      <c r="E63" s="3"/>
      <c r="F63" s="30"/>
      <c r="G63" s="3"/>
      <c r="H63" s="103"/>
      <c r="I63" s="30"/>
      <c r="J63" s="3">
        <f t="shared" si="3"/>
        <v>107.97</v>
      </c>
      <c r="K63" s="3">
        <f t="shared" si="5"/>
        <v>0</v>
      </c>
      <c r="L63" s="30"/>
      <c r="M63" s="3">
        <f>G63+J63</f>
        <v>107.97</v>
      </c>
      <c r="N63" s="148"/>
      <c r="O63" s="30"/>
    </row>
    <row r="64" spans="1:8" ht="168" customHeight="1" hidden="1">
      <c r="A64" s="85" t="s">
        <v>94</v>
      </c>
      <c r="B64" s="60" t="s">
        <v>88</v>
      </c>
      <c r="C64" s="9" t="s">
        <v>64</v>
      </c>
      <c r="D64" s="6" t="s">
        <v>98</v>
      </c>
      <c r="E64" s="6">
        <v>46.37</v>
      </c>
      <c r="F64" s="86">
        <v>46.37</v>
      </c>
      <c r="G64" s="6" t="s">
        <v>99</v>
      </c>
      <c r="H64" s="108">
        <v>61.83</v>
      </c>
    </row>
    <row r="65" spans="1:8" ht="54" customHeight="1" hidden="1">
      <c r="A65" s="87"/>
      <c r="B65" s="60" t="s">
        <v>89</v>
      </c>
      <c r="C65" s="9" t="s">
        <v>64</v>
      </c>
      <c r="D65" s="6" t="s">
        <v>98</v>
      </c>
      <c r="E65" s="6">
        <v>988.41</v>
      </c>
      <c r="F65" s="88">
        <v>988.41</v>
      </c>
      <c r="G65" s="6" t="s">
        <v>99</v>
      </c>
      <c r="H65" s="108">
        <v>298.99</v>
      </c>
    </row>
    <row r="66" spans="1:8" ht="54" customHeight="1" hidden="1" thickBot="1">
      <c r="A66" s="89"/>
      <c r="B66" s="90" t="s">
        <v>95</v>
      </c>
      <c r="C66" s="22" t="s">
        <v>64</v>
      </c>
      <c r="D66" s="91" t="s">
        <v>98</v>
      </c>
      <c r="E66" s="91">
        <v>192.42</v>
      </c>
      <c r="F66" s="92">
        <v>192.42</v>
      </c>
      <c r="G66" s="100" t="s">
        <v>99</v>
      </c>
      <c r="H66" s="109">
        <v>234.38</v>
      </c>
    </row>
    <row r="67" spans="1:6" ht="21" customHeight="1">
      <c r="A67" s="87"/>
      <c r="B67" s="11"/>
      <c r="C67" s="23"/>
      <c r="D67" s="12"/>
      <c r="E67" s="12"/>
      <c r="F67" s="12"/>
    </row>
    <row r="68" spans="1:6" ht="21" customHeight="1" hidden="1">
      <c r="A68" s="10"/>
      <c r="B68" s="11" t="s">
        <v>65</v>
      </c>
      <c r="D68" s="14"/>
      <c r="E68" s="14"/>
      <c r="F68" s="14"/>
    </row>
    <row r="69" spans="1:11" s="8" customFormat="1" ht="17.25" customHeight="1" hidden="1">
      <c r="A69" s="13"/>
      <c r="B69" s="18" t="s">
        <v>66</v>
      </c>
      <c r="C69" s="24" t="s">
        <v>67</v>
      </c>
      <c r="D69" s="17">
        <f>SUM(D71:D74)</f>
        <v>472.3</v>
      </c>
      <c r="E69" s="3">
        <f>SUM(E71:E74)</f>
        <v>381</v>
      </c>
      <c r="F69" s="93">
        <f aca="true" t="shared" si="10" ref="F69:F80">E69/D69</f>
        <v>0.8066906627143764</v>
      </c>
      <c r="H69" s="110"/>
      <c r="I69" s="11"/>
      <c r="J69" s="11"/>
      <c r="K69" s="11"/>
    </row>
    <row r="70" spans="1:6" ht="17.25" customHeight="1" hidden="1">
      <c r="A70" s="24"/>
      <c r="B70" s="15" t="s">
        <v>68</v>
      </c>
      <c r="C70" s="9"/>
      <c r="D70" s="94"/>
      <c r="E70" s="16"/>
      <c r="F70" s="95"/>
    </row>
    <row r="71" spans="1:6" ht="17.25" customHeight="1" hidden="1">
      <c r="A71" s="9"/>
      <c r="B71" s="7" t="s">
        <v>69</v>
      </c>
      <c r="C71" s="9" t="s">
        <v>67</v>
      </c>
      <c r="D71" s="16">
        <v>395.6</v>
      </c>
      <c r="E71" s="16">
        <v>321.8</v>
      </c>
      <c r="F71" s="95">
        <f t="shared" si="10"/>
        <v>0.8134479271991911</v>
      </c>
    </row>
    <row r="72" spans="1:6" ht="17.25" customHeight="1" hidden="1">
      <c r="A72" s="9"/>
      <c r="B72" s="7" t="s">
        <v>70</v>
      </c>
      <c r="C72" s="9" t="s">
        <v>67</v>
      </c>
      <c r="D72" s="16">
        <v>21.5</v>
      </c>
      <c r="E72" s="16">
        <v>22</v>
      </c>
      <c r="F72" s="95">
        <f t="shared" si="10"/>
        <v>1.0232558139534884</v>
      </c>
    </row>
    <row r="73" spans="1:6" ht="17.25" customHeight="1" hidden="1">
      <c r="A73" s="96"/>
      <c r="B73" s="7" t="s">
        <v>71</v>
      </c>
      <c r="C73" s="9" t="s">
        <v>67</v>
      </c>
      <c r="D73" s="16">
        <v>1</v>
      </c>
      <c r="E73" s="16">
        <v>1</v>
      </c>
      <c r="F73" s="95">
        <f t="shared" si="10"/>
        <v>1</v>
      </c>
    </row>
    <row r="74" spans="1:6" ht="17.25" customHeight="1" hidden="1">
      <c r="A74" s="96"/>
      <c r="B74" s="7" t="s">
        <v>72</v>
      </c>
      <c r="C74" s="9" t="s">
        <v>67</v>
      </c>
      <c r="D74" s="16">
        <v>54.2</v>
      </c>
      <c r="E74" s="16">
        <v>36.2</v>
      </c>
      <c r="F74" s="95">
        <f t="shared" si="10"/>
        <v>0.6678966789667897</v>
      </c>
    </row>
    <row r="75" spans="1:11" s="8" customFormat="1" ht="17.25" customHeight="1" hidden="1">
      <c r="A75" s="9"/>
      <c r="B75" s="18" t="s">
        <v>73</v>
      </c>
      <c r="C75" s="24" t="s">
        <v>74</v>
      </c>
      <c r="D75" s="97">
        <v>138974</v>
      </c>
      <c r="E75" s="97">
        <f>(E12+E24+E39+1275.43)/E69/6*1000</f>
        <v>174083.58267716537</v>
      </c>
      <c r="F75" s="93">
        <f t="shared" si="10"/>
        <v>1.2526341810494435</v>
      </c>
      <c r="H75" s="110"/>
      <c r="I75" s="11"/>
      <c r="J75" s="11"/>
      <c r="K75" s="11"/>
    </row>
    <row r="76" spans="1:6" ht="17.25" customHeight="1" hidden="1">
      <c r="A76" s="24"/>
      <c r="B76" s="15" t="s">
        <v>68</v>
      </c>
      <c r="C76" s="9"/>
      <c r="D76" s="98"/>
      <c r="E76" s="99"/>
      <c r="F76" s="95"/>
    </row>
    <row r="77" spans="1:6" ht="17.25" customHeight="1" hidden="1">
      <c r="A77" s="9"/>
      <c r="B77" s="7" t="s">
        <v>69</v>
      </c>
      <c r="C77" s="9" t="s">
        <v>74</v>
      </c>
      <c r="D77" s="99">
        <v>143618</v>
      </c>
      <c r="E77" s="99">
        <f>E12/E71/6*1000</f>
        <v>174860.22892065466</v>
      </c>
      <c r="F77" s="95">
        <f t="shared" si="10"/>
        <v>1.2175370003805557</v>
      </c>
    </row>
    <row r="78" spans="1:6" ht="17.25" customHeight="1" hidden="1">
      <c r="A78" s="9"/>
      <c r="B78" s="7" t="s">
        <v>70</v>
      </c>
      <c r="C78" s="9" t="s">
        <v>74</v>
      </c>
      <c r="D78" s="99">
        <v>181698</v>
      </c>
      <c r="E78" s="99">
        <f>E24/E72/6*1000</f>
        <v>214544.1666666667</v>
      </c>
      <c r="F78" s="95">
        <f t="shared" si="10"/>
        <v>1.1807734078892815</v>
      </c>
    </row>
    <row r="79" spans="1:6" ht="17.25" customHeight="1" hidden="1">
      <c r="A79" s="9"/>
      <c r="B79" s="7" t="s">
        <v>71</v>
      </c>
      <c r="C79" s="9" t="s">
        <v>74</v>
      </c>
      <c r="D79" s="99">
        <v>163784</v>
      </c>
      <c r="E79" s="99">
        <f>1275.43/2/6*1000</f>
        <v>106285.83333333334</v>
      </c>
      <c r="F79" s="95">
        <f t="shared" si="10"/>
        <v>0.6489390498054348</v>
      </c>
    </row>
    <row r="80" spans="1:6" ht="17.25" customHeight="1" hidden="1">
      <c r="A80" s="9"/>
      <c r="B80" s="7" t="s">
        <v>72</v>
      </c>
      <c r="C80" s="9" t="s">
        <v>74</v>
      </c>
      <c r="D80" s="99">
        <v>87669</v>
      </c>
      <c r="E80" s="99">
        <f>E39/E74/6*1000</f>
        <v>141527.0718232044</v>
      </c>
      <c r="F80" s="95">
        <f t="shared" si="10"/>
        <v>1.6143342780595695</v>
      </c>
    </row>
    <row r="81" spans="1:8" s="21" customFormat="1" ht="21" customHeight="1" hidden="1">
      <c r="A81" s="13"/>
      <c r="B81" s="11"/>
      <c r="C81" s="19"/>
      <c r="D81" s="19"/>
      <c r="E81" s="20"/>
      <c r="H81" s="111"/>
    </row>
  </sheetData>
  <sheetProtection/>
  <mergeCells count="16">
    <mergeCell ref="A3:A4"/>
    <mergeCell ref="B3:B4"/>
    <mergeCell ref="C3:C4"/>
    <mergeCell ref="D3:D4"/>
    <mergeCell ref="E3:E4"/>
    <mergeCell ref="F3:F4"/>
    <mergeCell ref="N62:N63"/>
    <mergeCell ref="G3:G4"/>
    <mergeCell ref="M3:M4"/>
    <mergeCell ref="N3:N4"/>
    <mergeCell ref="O3:O4"/>
    <mergeCell ref="I3:I4"/>
    <mergeCell ref="J3:J4"/>
    <mergeCell ref="K3:K4"/>
    <mergeCell ref="L3:L4"/>
    <mergeCell ref="H3:H4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Индира Нурсабитова1</cp:lastModifiedBy>
  <cp:lastPrinted>2023-12-19T08:40:29Z</cp:lastPrinted>
  <dcterms:created xsi:type="dcterms:W3CDTF">2016-06-16T06:31:36Z</dcterms:created>
  <dcterms:modified xsi:type="dcterms:W3CDTF">2023-12-27T03:13:45Z</dcterms:modified>
  <cp:category/>
  <cp:version/>
  <cp:contentType/>
  <cp:contentStatus/>
</cp:coreProperties>
</file>