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ириллова (А.А.)\ТАРИФНАЯ СМЕТА\Отчеты по исполнению ТС\ТС 2025\на сайт\"/>
    </mc:Choice>
  </mc:AlternateContent>
  <xr:revisionPtr revIDLastSave="0" documentId="13_ncr:1_{F6F5AC16-7039-4C5B-AE8A-1013EC5EF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да -рус.яз." sheetId="1" r:id="rId1"/>
  </sheets>
  <definedNames>
    <definedName name="_xlnm.Print_Titles" localSheetId="0">'вода -рус.яз.'!$3:$4</definedName>
    <definedName name="_xlnm.Print_Area" localSheetId="0">'вода -рус.яз.'!$A$1:$F$59</definedName>
  </definedNames>
  <calcPr calcId="181029"/>
</workbook>
</file>

<file path=xl/calcChain.xml><?xml version="1.0" encoding="utf-8"?>
<calcChain xmlns="http://schemas.openxmlformats.org/spreadsheetml/2006/main">
  <c r="D5" i="1" l="1"/>
  <c r="D12" i="1"/>
  <c r="E52" i="1"/>
  <c r="E46" i="1"/>
  <c r="E43" i="1"/>
  <c r="E35" i="1" l="1"/>
  <c r="E25" i="1"/>
  <c r="D43" i="1"/>
  <c r="D16" i="1"/>
  <c r="D13" i="1"/>
  <c r="D11" i="1"/>
  <c r="D56" i="1"/>
  <c r="D55" i="1"/>
  <c r="D54" i="1"/>
  <c r="D53" i="1"/>
  <c r="D52" i="1"/>
  <c r="D48" i="1"/>
  <c r="D44" i="1"/>
  <c r="D42" i="1"/>
  <c r="D41" i="1"/>
  <c r="D40" i="1"/>
  <c r="D38" i="1"/>
  <c r="D37" i="1"/>
  <c r="D36" i="1"/>
  <c r="D35" i="1" s="1"/>
  <c r="D32" i="1"/>
  <c r="D23" i="1"/>
  <c r="D31" i="1"/>
  <c r="D30" i="1"/>
  <c r="D29" i="1"/>
  <c r="D28" i="1"/>
  <c r="D27" i="1"/>
  <c r="D26" i="1"/>
  <c r="D24" i="1"/>
  <c r="D22" i="1"/>
  <c r="D19" i="1"/>
  <c r="D18" i="1"/>
  <c r="D17" i="1"/>
  <c r="D15" i="1"/>
  <c r="D14" i="1"/>
  <c r="D10" i="1"/>
  <c r="D9" i="1"/>
  <c r="D8" i="1"/>
  <c r="D7" i="1"/>
  <c r="D34" i="1" l="1"/>
  <c r="F16" i="1"/>
  <c r="E34" i="1"/>
  <c r="E12" i="1"/>
  <c r="F46" i="1" l="1"/>
  <c r="D50" i="1"/>
  <c r="E51" i="1"/>
  <c r="E58" i="1" s="1"/>
  <c r="E50" i="1"/>
  <c r="D25" i="1"/>
  <c r="D21" i="1" s="1"/>
  <c r="F44" i="1" l="1"/>
  <c r="D51" i="1"/>
  <c r="D6" i="1"/>
  <c r="F28" i="1"/>
  <c r="E21" i="1"/>
  <c r="F29" i="1"/>
  <c r="F27" i="1"/>
  <c r="E6" i="1" l="1"/>
  <c r="E5" i="1" s="1"/>
  <c r="F23" i="1" l="1"/>
  <c r="F55" i="1"/>
  <c r="F56" i="1"/>
  <c r="F30" i="1"/>
  <c r="F14" i="1"/>
  <c r="F19" i="1"/>
  <c r="F7" i="1"/>
  <c r="F8" i="1"/>
  <c r="F9" i="1"/>
  <c r="F15" i="1"/>
  <c r="F17" i="1"/>
  <c r="F40" i="1"/>
  <c r="F42" i="1"/>
  <c r="F53" i="1"/>
  <c r="F54" i="1"/>
  <c r="E20" i="1" l="1"/>
  <c r="E45" i="1" s="1"/>
  <c r="F37" i="1"/>
  <c r="F25" i="1"/>
  <c r="F10" i="1"/>
  <c r="F33" i="1"/>
  <c r="F18" i="1"/>
  <c r="F52" i="1"/>
  <c r="F43" i="1"/>
  <c r="F41" i="1"/>
  <c r="F38" i="1"/>
  <c r="F32" i="1"/>
  <c r="F31" i="1"/>
  <c r="F24" i="1"/>
  <c r="F51" i="1"/>
  <c r="F11" i="1"/>
  <c r="F22" i="1" l="1"/>
  <c r="F21" i="1"/>
  <c r="F12" i="1"/>
  <c r="F13" i="1"/>
  <c r="F6" i="1"/>
  <c r="F36" i="1" l="1"/>
  <c r="D20" i="1"/>
  <c r="D45" i="1" s="1"/>
  <c r="F5" i="1"/>
  <c r="F35" i="1" l="1"/>
  <c r="F34" i="1" l="1"/>
  <c r="F50" i="1"/>
  <c r="F48" i="1"/>
  <c r="F20" i="1" l="1"/>
  <c r="F45" i="1"/>
</calcChain>
</file>

<file path=xl/sharedStrings.xml><?xml version="1.0" encoding="utf-8"?>
<sst xmlns="http://schemas.openxmlformats.org/spreadsheetml/2006/main" count="157" uniqueCount="108">
  <si>
    <t>№ п/п</t>
  </si>
  <si>
    <t>Наименование показателей</t>
  </si>
  <si>
    <t>единицы измерения</t>
  </si>
  <si>
    <t>I.</t>
  </si>
  <si>
    <t>Затраты на производство товаров и  предоставление услуг, всего</t>
  </si>
  <si>
    <t>тыс.тенге</t>
  </si>
  <si>
    <t>1.</t>
  </si>
  <si>
    <t>Материальные затраты, всего</t>
  </si>
  <si>
    <t>1.1.</t>
  </si>
  <si>
    <t xml:space="preserve">  сырьё и материалы</t>
  </si>
  <si>
    <t>1.2.</t>
  </si>
  <si>
    <t xml:space="preserve">  ГСМ</t>
  </si>
  <si>
    <t>1.3.</t>
  </si>
  <si>
    <t xml:space="preserve">  электроэнергия</t>
  </si>
  <si>
    <t>1.4.</t>
  </si>
  <si>
    <t xml:space="preserve">  теплоэнергия</t>
  </si>
  <si>
    <t>2.</t>
  </si>
  <si>
    <t>Расходы на оплату труда, всего</t>
  </si>
  <si>
    <t>3.</t>
  </si>
  <si>
    <t>3.1.</t>
  </si>
  <si>
    <t>3.2.</t>
  </si>
  <si>
    <t>4.</t>
  </si>
  <si>
    <t>Текущий и капитальный ремонт и другие ремонтно-восстановительные работы, не приводящие к увеличению стоимости основных фондов</t>
  </si>
  <si>
    <t>5.</t>
  </si>
  <si>
    <t xml:space="preserve">Оплата работ и услуг производственного характера,выполняемых сторонними организациями </t>
  </si>
  <si>
    <t>6.</t>
  </si>
  <si>
    <t>Прочие затраты</t>
  </si>
  <si>
    <t>II.</t>
  </si>
  <si>
    <t>Расходы  периода   всего,  в т.ч.</t>
  </si>
  <si>
    <t>7.</t>
  </si>
  <si>
    <t>Общие и административные расходы, всего</t>
  </si>
  <si>
    <t>7.1.</t>
  </si>
  <si>
    <t>7.2.</t>
  </si>
  <si>
    <t>Налоги</t>
  </si>
  <si>
    <t>7.3.</t>
  </si>
  <si>
    <t>7.4.</t>
  </si>
  <si>
    <t>7.5.</t>
  </si>
  <si>
    <t>Износ основных средств</t>
  </si>
  <si>
    <t>7.6.</t>
  </si>
  <si>
    <t>Амортизация нематериальных активов</t>
  </si>
  <si>
    <t>7.7.</t>
  </si>
  <si>
    <t>Электроэнергия</t>
  </si>
  <si>
    <t>7.8.</t>
  </si>
  <si>
    <t>Теплоэнергия</t>
  </si>
  <si>
    <t>7.9.</t>
  </si>
  <si>
    <t>7.10.</t>
  </si>
  <si>
    <t xml:space="preserve">Прочие административные расходы </t>
  </si>
  <si>
    <t>Расходы на содержание службы сбыта</t>
  </si>
  <si>
    <t>8.1.</t>
  </si>
  <si>
    <t xml:space="preserve">   Заработная плата     </t>
  </si>
  <si>
    <t>8.2.</t>
  </si>
  <si>
    <t xml:space="preserve">    Отчисления от заработной платы</t>
  </si>
  <si>
    <t>8.3.</t>
  </si>
  <si>
    <t xml:space="preserve">   Амортизация основных средств</t>
  </si>
  <si>
    <t>8.4.</t>
  </si>
  <si>
    <t xml:space="preserve">   Амортизация нематериальных активов</t>
  </si>
  <si>
    <t>8.5.</t>
  </si>
  <si>
    <t xml:space="preserve">   Электроэнергия</t>
  </si>
  <si>
    <t>8.6.</t>
  </si>
  <si>
    <t xml:space="preserve">   Теплоэнергия</t>
  </si>
  <si>
    <t>8.7.</t>
  </si>
  <si>
    <t xml:space="preserve">   Материалы  на содержание </t>
  </si>
  <si>
    <t>8.8.</t>
  </si>
  <si>
    <t xml:space="preserve">   Прочие  затраты  на содержание службы сбыта</t>
  </si>
  <si>
    <t>III.</t>
  </si>
  <si>
    <t>Всего затрат на предоставление услуг</t>
  </si>
  <si>
    <t>IV.</t>
  </si>
  <si>
    <t>V.</t>
  </si>
  <si>
    <t>Всего доходов</t>
  </si>
  <si>
    <t>VI.</t>
  </si>
  <si>
    <t xml:space="preserve">Объемы оказываемых услуг </t>
  </si>
  <si>
    <t>тыс.м³</t>
  </si>
  <si>
    <t>VII.</t>
  </si>
  <si>
    <t>Нормативные технические потери</t>
  </si>
  <si>
    <t>%</t>
  </si>
  <si>
    <t xml:space="preserve">   -"- в натуральных показателях</t>
  </si>
  <si>
    <t>VIII.</t>
  </si>
  <si>
    <t>тенге/м³</t>
  </si>
  <si>
    <t>Материалы на содержание</t>
  </si>
  <si>
    <t>Амортизация, ВСЕГО:</t>
  </si>
  <si>
    <t>физические лица, организации, занимающиеся производством тепловой энергии, в пределах объемов потребления воды на собственные нужды в процессе производства тепловой энергии и объемов подпитки при предоставлении услуг горячего водоснабжения (при открытой системе горячего водоснабжения), организации, занимающиеся передачей и распределением тепловой энергии, в пределах объемов утвержденных нормативных технических потерь и организации, предоставляющие регулируемые услуги в сфере водоснабжения и (или) водоотведения</t>
  </si>
  <si>
    <t>организации, содержащиеся за счет бюджетных средств</t>
  </si>
  <si>
    <t>3.3.</t>
  </si>
  <si>
    <t>на выполнение инвестиционной программы</t>
  </si>
  <si>
    <t>на возврат основного долга по кредиту ЕБРР</t>
  </si>
  <si>
    <t>на возврат основного долга по кредиту Нурлы Жол</t>
  </si>
  <si>
    <t>Вознаграждения по кредитам ЕБРР, Нурлы Жол</t>
  </si>
  <si>
    <t>сан очистка</t>
  </si>
  <si>
    <t>прочие потребители- юридические лица, не входящие в состав первой и третьей групп</t>
  </si>
  <si>
    <t>Прибыль</t>
  </si>
  <si>
    <t>Сумма необоснованно полученного дохода, установленная по итогам анализа исполнения тарифной сметы и инвестиционной программы</t>
  </si>
  <si>
    <t>Всего доходов с учетом суммы необоснованно полученного дохода в том числе:</t>
  </si>
  <si>
    <t>Вознаграждения по кредитам ЕБРР</t>
  </si>
  <si>
    <t>Вознаграждения по кредитам Нурлы Жол</t>
  </si>
  <si>
    <t>заработная плата и отчисления от оплаты труда</t>
  </si>
  <si>
    <t>8.8.7</t>
  </si>
  <si>
    <t>услуга по обработке и доставке платежных поручений</t>
  </si>
  <si>
    <t>% выполнения</t>
  </si>
  <si>
    <t>8.1-8.2</t>
  </si>
  <si>
    <t>Тариф по предельному уровню за м3, без НДС</t>
  </si>
  <si>
    <t>Оперативная информация о ходе исполнения тарифной сметы на услуги  водоснабжения, оказываемые ГКП на праве хозяйственного ведения "Өскемен Водоканал" акимата г.Усть-Каменогорск  за 12 месяцев 2025 года</t>
  </si>
  <si>
    <t>с 01.01.2025г по 30.06.2025г</t>
  </si>
  <si>
    <t>с 01.07.2025г по 31.12.2025г</t>
  </si>
  <si>
    <t>Расходы на оплату труда</t>
  </si>
  <si>
    <t>3.4.</t>
  </si>
  <si>
    <t>на развитие 1С</t>
  </si>
  <si>
    <t>План за 2025г.</t>
  </si>
  <si>
    <t>Факт за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</si>
</sst>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9" fontId="24" fillId="0" borderId="0" applyFont="0" applyFill="0" applyBorder="0" applyAlignment="0" applyProtection="0"/>
  </cellStyleXfs>
  <cellXfs count="70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4" fontId="22" fillId="0" borderId="10" xfId="0" applyNumberFormat="1" applyFont="1" applyBorder="1" applyAlignment="1">
      <alignment horizontal="center" vertical="center"/>
    </xf>
    <xf numFmtId="4" fontId="20" fillId="2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20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4" fontId="22" fillId="24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Continuous" vertical="center"/>
    </xf>
    <xf numFmtId="4" fontId="20" fillId="0" borderId="0" xfId="0" applyNumberFormat="1" applyFont="1" applyAlignment="1">
      <alignment vertical="center"/>
    </xf>
    <xf numFmtId="0" fontId="20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24" borderId="10" xfId="0" applyNumberFormat="1" applyFont="1" applyFill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2" fillId="24" borderId="10" xfId="0" applyNumberFormat="1" applyFont="1" applyFill="1" applyBorder="1" applyAlignment="1">
      <alignment horizontal="center" vertical="center"/>
    </xf>
    <xf numFmtId="4" fontId="22" fillId="0" borderId="10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5" fillId="0" borderId="0" xfId="0" applyFont="1" applyAlignment="1">
      <alignment horizontal="centerContinuous" vertical="center" wrapText="1"/>
    </xf>
    <xf numFmtId="0" fontId="26" fillId="0" borderId="0" xfId="0" applyFont="1" applyAlignment="1">
      <alignment horizontal="centerContinuous" vertical="center"/>
    </xf>
    <xf numFmtId="0" fontId="26" fillId="0" borderId="0" xfId="0" applyFont="1" applyAlignment="1">
      <alignment vertical="center"/>
    </xf>
    <xf numFmtId="0" fontId="22" fillId="0" borderId="10" xfId="0" applyFont="1" applyBorder="1" applyAlignment="1">
      <alignment vertical="center" wrapText="1"/>
    </xf>
    <xf numFmtId="9" fontId="22" fillId="0" borderId="10" xfId="39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16" fontId="20" fillId="0" borderId="10" xfId="0" applyNumberFormat="1" applyFont="1" applyBorder="1" applyAlignment="1">
      <alignment horizontal="center" vertical="center"/>
    </xf>
    <xf numFmtId="9" fontId="20" fillId="0" borderId="10" xfId="39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0" fillId="24" borderId="10" xfId="0" applyFont="1" applyFill="1" applyBorder="1" applyAlignment="1">
      <alignment vertical="center" wrapText="1"/>
    </xf>
    <xf numFmtId="9" fontId="20" fillId="24" borderId="10" xfId="39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vertical="center"/>
    </xf>
    <xf numFmtId="16" fontId="23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14" fontId="20" fillId="0" borderId="10" xfId="0" applyNumberFormat="1" applyFont="1" applyBorder="1" applyAlignment="1">
      <alignment horizontal="center" vertical="center"/>
    </xf>
    <xf numFmtId="9" fontId="20" fillId="0" borderId="10" xfId="39" applyFont="1" applyFill="1" applyBorder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9" fontId="21" fillId="0" borderId="10" xfId="39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49" fontId="20" fillId="24" borderId="10" xfId="0" applyNumberFormat="1" applyFont="1" applyFill="1" applyBorder="1" applyAlignment="1">
      <alignment horizontal="center" vertical="center"/>
    </xf>
    <xf numFmtId="9" fontId="20" fillId="24" borderId="10" xfId="39" applyFont="1" applyFill="1" applyBorder="1" applyAlignment="1">
      <alignment horizontal="center" vertical="center" wrapText="1"/>
    </xf>
    <xf numFmtId="9" fontId="22" fillId="0" borderId="10" xfId="39" applyFont="1" applyFill="1" applyBorder="1" applyAlignment="1">
      <alignment horizontal="center" vertical="center" wrapText="1"/>
    </xf>
    <xf numFmtId="164" fontId="20" fillId="24" borderId="10" xfId="0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left" vertical="center"/>
    </xf>
    <xf numFmtId="0" fontId="20" fillId="24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vertical="center" wrapText="1"/>
    </xf>
    <xf numFmtId="9" fontId="22" fillId="24" borderId="10" xfId="39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vertical="center"/>
    </xf>
    <xf numFmtId="9" fontId="20" fillId="0" borderId="10" xfId="39" applyFont="1" applyFill="1" applyBorder="1" applyAlignment="1">
      <alignment vertical="center"/>
    </xf>
    <xf numFmtId="3" fontId="22" fillId="0" borderId="0" xfId="0" applyNumberFormat="1" applyFont="1" applyAlignment="1">
      <alignment vertical="center"/>
    </xf>
    <xf numFmtId="9" fontId="27" fillId="0" borderId="10" xfId="39" applyFont="1" applyFill="1" applyBorder="1" applyAlignment="1">
      <alignment horizontal="center" vertical="center" wrapText="1"/>
    </xf>
    <xf numFmtId="9" fontId="28" fillId="24" borderId="10" xfId="39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3" xr:uid="{00000000-0005-0000-0000-000028000000}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E14" sqref="E14"/>
    </sheetView>
  </sheetViews>
  <sheetFormatPr defaultRowHeight="21" customHeight="1" x14ac:dyDescent="0.2"/>
  <cols>
    <col min="1" max="1" width="4.5703125" style="2" customWidth="1"/>
    <col min="2" max="2" width="45.140625" style="1" customWidth="1"/>
    <col min="3" max="3" width="10" style="2" customWidth="1"/>
    <col min="4" max="4" width="11" style="1" customWidth="1"/>
    <col min="5" max="5" width="11.28515625" style="1" customWidth="1"/>
    <col min="6" max="6" width="14.42578125" style="1" bestFit="1" customWidth="1"/>
    <col min="7" max="7" width="10.42578125" style="1" customWidth="1"/>
    <col min="8" max="16384" width="9.140625" style="1"/>
  </cols>
  <sheetData>
    <row r="1" spans="1:7" s="34" customFormat="1" ht="47.25" x14ac:dyDescent="0.2">
      <c r="A1" s="32" t="s">
        <v>100</v>
      </c>
      <c r="B1" s="32"/>
      <c r="C1" s="32"/>
      <c r="D1" s="33"/>
      <c r="E1" s="33"/>
      <c r="F1" s="33"/>
    </row>
    <row r="2" spans="1:7" ht="21" customHeight="1" x14ac:dyDescent="0.2">
      <c r="B2" s="19"/>
      <c r="C2" s="19"/>
      <c r="D2" s="19"/>
      <c r="E2" s="19"/>
      <c r="F2" s="19"/>
    </row>
    <row r="3" spans="1:7" ht="16.5" customHeight="1" x14ac:dyDescent="0.2">
      <c r="A3" s="68" t="s">
        <v>0</v>
      </c>
      <c r="B3" s="69" t="s">
        <v>1</v>
      </c>
      <c r="C3" s="68" t="s">
        <v>2</v>
      </c>
      <c r="D3" s="66" t="s">
        <v>106</v>
      </c>
      <c r="E3" s="66" t="s">
        <v>107</v>
      </c>
      <c r="F3" s="66" t="s">
        <v>97</v>
      </c>
    </row>
    <row r="4" spans="1:7" ht="23.25" customHeight="1" x14ac:dyDescent="0.2">
      <c r="A4" s="68"/>
      <c r="B4" s="69"/>
      <c r="C4" s="68"/>
      <c r="D4" s="66"/>
      <c r="E4" s="66"/>
      <c r="F4" s="66"/>
    </row>
    <row r="5" spans="1:7" ht="30" customHeight="1" x14ac:dyDescent="0.2">
      <c r="A5" s="10" t="s">
        <v>3</v>
      </c>
      <c r="B5" s="35" t="s">
        <v>4</v>
      </c>
      <c r="C5" s="10" t="s">
        <v>5</v>
      </c>
      <c r="D5" s="22">
        <f>D6+D11+D12+D17+D18+D19</f>
        <v>4350628.2750000004</v>
      </c>
      <c r="E5" s="22">
        <f>E6+E11+E12+E17+E18+E19</f>
        <v>4289745.1599999992</v>
      </c>
      <c r="F5" s="36">
        <f>E5/D5</f>
        <v>0.98600590279113165</v>
      </c>
      <c r="G5" s="20"/>
    </row>
    <row r="6" spans="1:7" s="3" customFormat="1" ht="17.25" customHeight="1" x14ac:dyDescent="0.2">
      <c r="A6" s="14" t="s">
        <v>6</v>
      </c>
      <c r="B6" s="37" t="s">
        <v>7</v>
      </c>
      <c r="C6" s="14" t="s">
        <v>5</v>
      </c>
      <c r="D6" s="22">
        <f>SUM(D7:D10)</f>
        <v>1358512.9750000003</v>
      </c>
      <c r="E6" s="22">
        <f>E7+E8+E9+E10</f>
        <v>1684778.16</v>
      </c>
      <c r="F6" s="36">
        <f t="shared" ref="F6" si="0">E6/D6</f>
        <v>1.2401634662341001</v>
      </c>
    </row>
    <row r="7" spans="1:7" ht="17.25" customHeight="1" x14ac:dyDescent="0.2">
      <c r="A7" s="38" t="s">
        <v>8</v>
      </c>
      <c r="B7" s="4" t="s">
        <v>9</v>
      </c>
      <c r="C7" s="11" t="s">
        <v>5</v>
      </c>
      <c r="D7" s="23">
        <f>(78395.62+38178.16)/2</f>
        <v>58286.89</v>
      </c>
      <c r="E7" s="23">
        <v>77065.039999999994</v>
      </c>
      <c r="F7" s="39">
        <f>E7/D7</f>
        <v>1.3221676435301317</v>
      </c>
    </row>
    <row r="8" spans="1:7" ht="17.25" customHeight="1" x14ac:dyDescent="0.2">
      <c r="A8" s="38" t="s">
        <v>10</v>
      </c>
      <c r="B8" s="4" t="s">
        <v>11</v>
      </c>
      <c r="C8" s="11" t="s">
        <v>5</v>
      </c>
      <c r="D8" s="23">
        <f>(97159.35+109883.86)/2</f>
        <v>103521.60500000001</v>
      </c>
      <c r="E8" s="23">
        <v>101846.13</v>
      </c>
      <c r="F8" s="39">
        <f t="shared" ref="F8:F11" si="1">E8/D8</f>
        <v>0.98381521422508855</v>
      </c>
    </row>
    <row r="9" spans="1:7" ht="17.25" customHeight="1" x14ac:dyDescent="0.2">
      <c r="A9" s="38" t="s">
        <v>12</v>
      </c>
      <c r="B9" s="4" t="s">
        <v>13</v>
      </c>
      <c r="C9" s="11" t="s">
        <v>5</v>
      </c>
      <c r="D9" s="23">
        <f>(1218104.48+1138416.51)/2</f>
        <v>1178260.4950000001</v>
      </c>
      <c r="E9" s="23">
        <v>1483706.78</v>
      </c>
      <c r="F9" s="39">
        <f t="shared" si="1"/>
        <v>1.2592349368379696</v>
      </c>
    </row>
    <row r="10" spans="1:7" ht="17.25" customHeight="1" x14ac:dyDescent="0.2">
      <c r="A10" s="38" t="s">
        <v>14</v>
      </c>
      <c r="B10" s="4" t="s">
        <v>15</v>
      </c>
      <c r="C10" s="11" t="s">
        <v>5</v>
      </c>
      <c r="D10" s="23">
        <f>(24105.54+12782.43)/2</f>
        <v>18443.985000000001</v>
      </c>
      <c r="E10" s="23">
        <v>22160.21</v>
      </c>
      <c r="F10" s="39">
        <f t="shared" si="1"/>
        <v>1.2014870972840197</v>
      </c>
    </row>
    <row r="11" spans="1:7" s="3" customFormat="1" ht="17.25" customHeight="1" x14ac:dyDescent="0.2">
      <c r="A11" s="14" t="s">
        <v>16</v>
      </c>
      <c r="B11" s="40" t="s">
        <v>103</v>
      </c>
      <c r="C11" s="14" t="s">
        <v>5</v>
      </c>
      <c r="D11" s="22">
        <f>(1001951.78+1367659.99)/2</f>
        <v>1184805.885</v>
      </c>
      <c r="E11" s="22">
        <v>1188252.94</v>
      </c>
      <c r="F11" s="36">
        <f t="shared" si="1"/>
        <v>1.0029093837595175</v>
      </c>
    </row>
    <row r="12" spans="1:7" s="3" customFormat="1" ht="17.25" customHeight="1" x14ac:dyDescent="0.2">
      <c r="A12" s="44" t="s">
        <v>18</v>
      </c>
      <c r="B12" s="37" t="s">
        <v>79</v>
      </c>
      <c r="C12" s="14" t="s">
        <v>5</v>
      </c>
      <c r="D12" s="22">
        <f>SUM(D13:D16)</f>
        <v>1424792.9350000001</v>
      </c>
      <c r="E12" s="22">
        <f>SUM(E13:E16)</f>
        <v>1038824.0499999999</v>
      </c>
      <c r="F12" s="36">
        <f>E12/D12</f>
        <v>0.72910527872599251</v>
      </c>
    </row>
    <row r="13" spans="1:7" s="3" customFormat="1" ht="17.25" customHeight="1" x14ac:dyDescent="0.2">
      <c r="A13" s="11" t="s">
        <v>19</v>
      </c>
      <c r="B13" s="45" t="s">
        <v>83</v>
      </c>
      <c r="C13" s="11" t="s">
        <v>5</v>
      </c>
      <c r="D13" s="23">
        <f>(954724+1458803.79)/2</f>
        <v>1206763.895</v>
      </c>
      <c r="E13" s="23">
        <v>939642.7</v>
      </c>
      <c r="F13" s="39">
        <f>E13/D13</f>
        <v>0.77864667968045231</v>
      </c>
    </row>
    <row r="14" spans="1:7" ht="17.25" customHeight="1" x14ac:dyDescent="0.2">
      <c r="A14" s="11" t="s">
        <v>20</v>
      </c>
      <c r="B14" s="4" t="s">
        <v>84</v>
      </c>
      <c r="C14" s="11" t="s">
        <v>5</v>
      </c>
      <c r="D14" s="23">
        <f>(55029.29+115993.21)/2</f>
        <v>85511.25</v>
      </c>
      <c r="E14" s="23">
        <v>63591.12</v>
      </c>
      <c r="F14" s="39">
        <f>E14/D14</f>
        <v>0.74365793974477046</v>
      </c>
    </row>
    <row r="15" spans="1:7" ht="17.25" customHeight="1" x14ac:dyDescent="0.2">
      <c r="A15" s="11" t="s">
        <v>82</v>
      </c>
      <c r="B15" s="4" t="s">
        <v>85</v>
      </c>
      <c r="C15" s="11" t="s">
        <v>5</v>
      </c>
      <c r="D15" s="23">
        <f>127505.79</f>
        <v>127505.79</v>
      </c>
      <c r="E15" s="23">
        <v>23625.94</v>
      </c>
      <c r="F15" s="39">
        <f>E15/D15</f>
        <v>0.18529307571052264</v>
      </c>
    </row>
    <row r="16" spans="1:7" ht="17.25" customHeight="1" x14ac:dyDescent="0.2">
      <c r="A16" s="11" t="s">
        <v>104</v>
      </c>
      <c r="B16" s="4" t="s">
        <v>105</v>
      </c>
      <c r="C16" s="11" t="s">
        <v>5</v>
      </c>
      <c r="D16" s="23">
        <f>10024/2</f>
        <v>5012</v>
      </c>
      <c r="E16" s="23">
        <v>11964.29</v>
      </c>
      <c r="F16" s="39">
        <f>E16/D16</f>
        <v>2.3871288906624102</v>
      </c>
    </row>
    <row r="17" spans="1:7" s="3" customFormat="1" ht="44.25" customHeight="1" x14ac:dyDescent="0.2">
      <c r="A17" s="14" t="s">
        <v>21</v>
      </c>
      <c r="B17" s="40" t="s">
        <v>22</v>
      </c>
      <c r="C17" s="18" t="s">
        <v>5</v>
      </c>
      <c r="D17" s="22">
        <f>(182951.47+63594.57)/2</f>
        <v>123273.02</v>
      </c>
      <c r="E17" s="22">
        <v>220679.43</v>
      </c>
      <c r="F17" s="36">
        <f t="shared" ref="F17:F27" si="2">E17/D17</f>
        <v>1.7901681162674523</v>
      </c>
    </row>
    <row r="18" spans="1:7" s="3" customFormat="1" ht="41.25" customHeight="1" x14ac:dyDescent="0.2">
      <c r="A18" s="14" t="s">
        <v>23</v>
      </c>
      <c r="B18" s="40" t="s">
        <v>24</v>
      </c>
      <c r="C18" s="14" t="s">
        <v>5</v>
      </c>
      <c r="D18" s="22">
        <f>(32943.39+20012.79)/2</f>
        <v>26478.09</v>
      </c>
      <c r="E18" s="22">
        <v>82321.77</v>
      </c>
      <c r="F18" s="36">
        <f t="shared" si="2"/>
        <v>3.1090524278752736</v>
      </c>
    </row>
    <row r="19" spans="1:7" s="3" customFormat="1" ht="15.75" customHeight="1" x14ac:dyDescent="0.2">
      <c r="A19" s="14" t="s">
        <v>25</v>
      </c>
      <c r="B19" s="37" t="s">
        <v>26</v>
      </c>
      <c r="C19" s="14" t="s">
        <v>5</v>
      </c>
      <c r="D19" s="22">
        <f>(248537.34+216993.4)/2</f>
        <v>232765.37</v>
      </c>
      <c r="E19" s="22">
        <v>74888.81</v>
      </c>
      <c r="F19" s="36">
        <f t="shared" si="2"/>
        <v>0.32173518766988407</v>
      </c>
    </row>
    <row r="20" spans="1:7" ht="15.75" customHeight="1" x14ac:dyDescent="0.2">
      <c r="A20" s="10" t="s">
        <v>27</v>
      </c>
      <c r="B20" s="46" t="s">
        <v>28</v>
      </c>
      <c r="C20" s="10" t="s">
        <v>5</v>
      </c>
      <c r="D20" s="22">
        <f>D21+D34</f>
        <v>376118.12</v>
      </c>
      <c r="E20" s="22">
        <f>E21+E34</f>
        <v>304888.27</v>
      </c>
      <c r="F20" s="36">
        <f t="shared" si="2"/>
        <v>0.81061840360150694</v>
      </c>
    </row>
    <row r="21" spans="1:7" s="3" customFormat="1" ht="17.25" customHeight="1" x14ac:dyDescent="0.2">
      <c r="A21" s="14" t="s">
        <v>29</v>
      </c>
      <c r="B21" s="40" t="s">
        <v>30</v>
      </c>
      <c r="C21" s="14" t="s">
        <v>5</v>
      </c>
      <c r="D21" s="22">
        <f>SUM(D22,D23:D25,D28:D33)</f>
        <v>231239.29499999998</v>
      </c>
      <c r="E21" s="22">
        <f>E22+E23+E24+E25+E28+E29+E30+E31+E32+E33</f>
        <v>195879.33000000002</v>
      </c>
      <c r="F21" s="36">
        <f t="shared" si="2"/>
        <v>0.84708496451695214</v>
      </c>
      <c r="G21" s="30"/>
    </row>
    <row r="22" spans="1:7" s="3" customFormat="1" ht="21.75" customHeight="1" x14ac:dyDescent="0.2">
      <c r="A22" s="13" t="s">
        <v>31</v>
      </c>
      <c r="B22" s="43" t="s">
        <v>17</v>
      </c>
      <c r="C22" s="13" t="s">
        <v>5</v>
      </c>
      <c r="D22" s="23">
        <f>(84919.35+97963.08)/2</f>
        <v>91441.214999999997</v>
      </c>
      <c r="E22" s="23">
        <v>96647.55</v>
      </c>
      <c r="F22" s="42">
        <f t="shared" si="2"/>
        <v>1.0569364153789953</v>
      </c>
    </row>
    <row r="23" spans="1:7" ht="19.5" customHeight="1" x14ac:dyDescent="0.2">
      <c r="A23" s="11" t="s">
        <v>32</v>
      </c>
      <c r="B23" s="4" t="s">
        <v>33</v>
      </c>
      <c r="C23" s="11" t="s">
        <v>5</v>
      </c>
      <c r="D23" s="23">
        <f>(72362+51800.68)/2</f>
        <v>62081.34</v>
      </c>
      <c r="E23" s="23">
        <v>69574.94</v>
      </c>
      <c r="F23" s="39">
        <f t="shared" si="2"/>
        <v>1.1207061574379678</v>
      </c>
    </row>
    <row r="24" spans="1:7" ht="19.5" customHeight="1" x14ac:dyDescent="0.2">
      <c r="A24" s="47" t="s">
        <v>34</v>
      </c>
      <c r="B24" s="21" t="s">
        <v>87</v>
      </c>
      <c r="C24" s="11" t="s">
        <v>5</v>
      </c>
      <c r="D24" s="23">
        <f>(177.55+377.86)/2</f>
        <v>277.70500000000004</v>
      </c>
      <c r="E24" s="23">
        <v>175.72</v>
      </c>
      <c r="F24" s="48">
        <f t="shared" si="2"/>
        <v>0.63275778253902515</v>
      </c>
    </row>
    <row r="25" spans="1:7" s="7" customFormat="1" ht="19.5" customHeight="1" x14ac:dyDescent="0.2">
      <c r="A25" s="47" t="s">
        <v>35</v>
      </c>
      <c r="B25" s="21" t="s">
        <v>86</v>
      </c>
      <c r="C25" s="11" t="s">
        <v>5</v>
      </c>
      <c r="D25" s="23">
        <f>D26+D27</f>
        <v>32547.635000000002</v>
      </c>
      <c r="E25" s="23">
        <f>E26+E27</f>
        <v>364.45</v>
      </c>
      <c r="F25" s="48">
        <f t="shared" si="2"/>
        <v>1.1197434160730879E-2</v>
      </c>
    </row>
    <row r="26" spans="1:7" s="7" customFormat="1" ht="19.5" customHeight="1" x14ac:dyDescent="0.2">
      <c r="A26" s="49"/>
      <c r="B26" s="50" t="s">
        <v>92</v>
      </c>
      <c r="C26" s="12" t="s">
        <v>5</v>
      </c>
      <c r="D26" s="25">
        <f>64335.55/2</f>
        <v>32167.775000000001</v>
      </c>
      <c r="E26" s="25">
        <v>0</v>
      </c>
      <c r="F26" s="64">
        <v>0</v>
      </c>
    </row>
    <row r="27" spans="1:7" s="7" customFormat="1" ht="19.5" customHeight="1" x14ac:dyDescent="0.2">
      <c r="A27" s="49"/>
      <c r="B27" s="50" t="s">
        <v>93</v>
      </c>
      <c r="C27" s="12" t="s">
        <v>5</v>
      </c>
      <c r="D27" s="25">
        <f>(393.15+366.57)/2</f>
        <v>379.86</v>
      </c>
      <c r="E27" s="25">
        <v>364.45</v>
      </c>
      <c r="F27" s="51">
        <f t="shared" si="2"/>
        <v>0.95943242247143679</v>
      </c>
    </row>
    <row r="28" spans="1:7" ht="19.5" customHeight="1" x14ac:dyDescent="0.2">
      <c r="A28" s="52" t="s">
        <v>36</v>
      </c>
      <c r="B28" s="4" t="s">
        <v>37</v>
      </c>
      <c r="C28" s="11" t="s">
        <v>5</v>
      </c>
      <c r="D28" s="23">
        <f>(17630.12+17600.99)/2</f>
        <v>17615.555</v>
      </c>
      <c r="E28" s="23">
        <v>11585.68</v>
      </c>
      <c r="F28" s="39">
        <f t="shared" ref="F28:F38" si="3">E28/D28</f>
        <v>0.65769599652125632</v>
      </c>
    </row>
    <row r="29" spans="1:7" ht="19.5" customHeight="1" x14ac:dyDescent="0.2">
      <c r="A29" s="52" t="s">
        <v>38</v>
      </c>
      <c r="B29" s="4" t="s">
        <v>39</v>
      </c>
      <c r="C29" s="11" t="s">
        <v>5</v>
      </c>
      <c r="D29" s="23">
        <f>(504.11+358.67)/2</f>
        <v>431.39</v>
      </c>
      <c r="E29" s="23">
        <v>372.01</v>
      </c>
      <c r="F29" s="39">
        <f t="shared" si="3"/>
        <v>0.86235193212638217</v>
      </c>
    </row>
    <row r="30" spans="1:7" ht="19.5" customHeight="1" x14ac:dyDescent="0.2">
      <c r="A30" s="52" t="s">
        <v>40</v>
      </c>
      <c r="B30" s="4" t="s">
        <v>41</v>
      </c>
      <c r="C30" s="11" t="s">
        <v>5</v>
      </c>
      <c r="D30" s="23">
        <f>(368.76+153.66)/2</f>
        <v>261.20999999999998</v>
      </c>
      <c r="E30" s="23">
        <v>475.45</v>
      </c>
      <c r="F30" s="39">
        <f t="shared" si="3"/>
        <v>1.8201829945254777</v>
      </c>
    </row>
    <row r="31" spans="1:7" ht="19.5" customHeight="1" x14ac:dyDescent="0.2">
      <c r="A31" s="52" t="s">
        <v>42</v>
      </c>
      <c r="B31" s="4" t="s">
        <v>43</v>
      </c>
      <c r="C31" s="11" t="s">
        <v>5</v>
      </c>
      <c r="D31" s="23">
        <f>(1328.54+351.62)/2</f>
        <v>840.07999999999993</v>
      </c>
      <c r="E31" s="23">
        <v>1242.3800000000001</v>
      </c>
      <c r="F31" s="39">
        <f t="shared" si="3"/>
        <v>1.4788829635272833</v>
      </c>
    </row>
    <row r="32" spans="1:7" ht="19.5" customHeight="1" x14ac:dyDescent="0.2">
      <c r="A32" s="52" t="s">
        <v>44</v>
      </c>
      <c r="B32" s="4" t="s">
        <v>78</v>
      </c>
      <c r="C32" s="11" t="s">
        <v>5</v>
      </c>
      <c r="D32" s="23">
        <f>(1717.11+2651.82)/2</f>
        <v>2184.4650000000001</v>
      </c>
      <c r="E32" s="23">
        <v>1905.15</v>
      </c>
      <c r="F32" s="39">
        <f t="shared" si="3"/>
        <v>0.87213574033001218</v>
      </c>
    </row>
    <row r="33" spans="1:7" ht="19.5" customHeight="1" x14ac:dyDescent="0.2">
      <c r="A33" s="53" t="s">
        <v>45</v>
      </c>
      <c r="B33" s="43" t="s">
        <v>46</v>
      </c>
      <c r="C33" s="13" t="s">
        <v>5</v>
      </c>
      <c r="D33" s="23">
        <v>23558.7</v>
      </c>
      <c r="E33" s="23">
        <v>13536</v>
      </c>
      <c r="F33" s="54">
        <f t="shared" si="3"/>
        <v>0.57456481045218966</v>
      </c>
    </row>
    <row r="34" spans="1:7" s="9" customFormat="1" ht="21.75" customHeight="1" x14ac:dyDescent="0.2">
      <c r="A34" s="10">
        <v>8</v>
      </c>
      <c r="B34" s="35" t="s">
        <v>47</v>
      </c>
      <c r="C34" s="10" t="s">
        <v>5</v>
      </c>
      <c r="D34" s="26">
        <f>SUM(D38:D43,D35)</f>
        <v>144878.82499999998</v>
      </c>
      <c r="E34" s="26">
        <f>E36+E37+E38+E39+E40+E41+E42+E43</f>
        <v>109008.94000000003</v>
      </c>
      <c r="F34" s="55">
        <f t="shared" si="3"/>
        <v>0.75241457818283686</v>
      </c>
      <c r="G34" s="63"/>
    </row>
    <row r="35" spans="1:7" ht="20.25" customHeight="1" x14ac:dyDescent="0.2">
      <c r="A35" s="11" t="s">
        <v>98</v>
      </c>
      <c r="B35" s="43" t="s">
        <v>94</v>
      </c>
      <c r="C35" s="11" t="s">
        <v>5</v>
      </c>
      <c r="D35" s="27">
        <f>D36+D37</f>
        <v>130840.9</v>
      </c>
      <c r="E35" s="27">
        <f>E36+E37</f>
        <v>87998.450000000012</v>
      </c>
      <c r="F35" s="48">
        <f t="shared" si="3"/>
        <v>0.67256072069207729</v>
      </c>
      <c r="G35" s="31"/>
    </row>
    <row r="36" spans="1:7" ht="20.25" hidden="1" customHeight="1" x14ac:dyDescent="0.2">
      <c r="A36" s="56" t="s">
        <v>48</v>
      </c>
      <c r="B36" s="57" t="s">
        <v>49</v>
      </c>
      <c r="C36" s="13" t="s">
        <v>5</v>
      </c>
      <c r="D36" s="24">
        <f>(71816.22+158973.37)/2</f>
        <v>115394.795</v>
      </c>
      <c r="E36" s="24">
        <v>77480.850000000006</v>
      </c>
      <c r="F36" s="54">
        <f t="shared" si="3"/>
        <v>0.67144146319597875</v>
      </c>
    </row>
    <row r="37" spans="1:7" ht="20.25" hidden="1" customHeight="1" x14ac:dyDescent="0.2">
      <c r="A37" s="56" t="s">
        <v>50</v>
      </c>
      <c r="B37" s="57" t="s">
        <v>51</v>
      </c>
      <c r="C37" s="13" t="s">
        <v>5</v>
      </c>
      <c r="D37" s="24">
        <f>(9208.02+21684.19)/2</f>
        <v>15446.105</v>
      </c>
      <c r="E37" s="24">
        <v>10517.6</v>
      </c>
      <c r="F37" s="42">
        <f t="shared" si="3"/>
        <v>0.68092247204068601</v>
      </c>
    </row>
    <row r="38" spans="1:7" ht="20.25" customHeight="1" x14ac:dyDescent="0.2">
      <c r="A38" s="56" t="s">
        <v>52</v>
      </c>
      <c r="B38" s="57" t="s">
        <v>53</v>
      </c>
      <c r="C38" s="13" t="s">
        <v>5</v>
      </c>
      <c r="D38" s="24">
        <f>(758.99+683.54)/2</f>
        <v>721.26499999999999</v>
      </c>
      <c r="E38" s="24">
        <v>358.89</v>
      </c>
      <c r="F38" s="42">
        <f t="shared" si="3"/>
        <v>0.4975841057031743</v>
      </c>
    </row>
    <row r="39" spans="1:7" ht="20.25" hidden="1" customHeight="1" x14ac:dyDescent="0.2">
      <c r="A39" s="56" t="s">
        <v>54</v>
      </c>
      <c r="B39" s="57" t="s">
        <v>55</v>
      </c>
      <c r="C39" s="13" t="s">
        <v>5</v>
      </c>
      <c r="D39" s="24">
        <v>0</v>
      </c>
      <c r="E39" s="24">
        <v>0</v>
      </c>
      <c r="F39" s="65">
        <v>0</v>
      </c>
    </row>
    <row r="40" spans="1:7" ht="20.25" customHeight="1" x14ac:dyDescent="0.2">
      <c r="A40" s="56" t="s">
        <v>56</v>
      </c>
      <c r="B40" s="57" t="s">
        <v>57</v>
      </c>
      <c r="C40" s="13" t="s">
        <v>5</v>
      </c>
      <c r="D40" s="24">
        <f>(62.28+313.21)/2</f>
        <v>187.745</v>
      </c>
      <c r="E40" s="24">
        <v>79.069999999999993</v>
      </c>
      <c r="F40" s="54">
        <f t="shared" ref="F40:F46" si="4">E40/D40</f>
        <v>0.42115635569522486</v>
      </c>
    </row>
    <row r="41" spans="1:7" ht="20.25" customHeight="1" x14ac:dyDescent="0.2">
      <c r="A41" s="56" t="s">
        <v>58</v>
      </c>
      <c r="B41" s="57" t="s">
        <v>59</v>
      </c>
      <c r="C41" s="13" t="s">
        <v>5</v>
      </c>
      <c r="D41" s="24">
        <f>(186.89+351.62)/2</f>
        <v>269.255</v>
      </c>
      <c r="E41" s="24">
        <v>168.13</v>
      </c>
      <c r="F41" s="54">
        <f t="shared" si="4"/>
        <v>0.62442665874357017</v>
      </c>
    </row>
    <row r="42" spans="1:7" ht="20.25" customHeight="1" x14ac:dyDescent="0.2">
      <c r="A42" s="56" t="s">
        <v>60</v>
      </c>
      <c r="B42" s="57" t="s">
        <v>61</v>
      </c>
      <c r="C42" s="13" t="s">
        <v>5</v>
      </c>
      <c r="D42" s="24">
        <f>(1029.87+2495.66)/2</f>
        <v>1762.7649999999999</v>
      </c>
      <c r="E42" s="24">
        <v>665.16</v>
      </c>
      <c r="F42" s="54">
        <f t="shared" si="4"/>
        <v>0.3773390100211883</v>
      </c>
    </row>
    <row r="43" spans="1:7" ht="18" customHeight="1" x14ac:dyDescent="0.2">
      <c r="A43" s="56" t="s">
        <v>62</v>
      </c>
      <c r="B43" s="58" t="s">
        <v>63</v>
      </c>
      <c r="C43" s="13" t="s">
        <v>5</v>
      </c>
      <c r="D43" s="24">
        <f>3703+D44</f>
        <v>11096.895</v>
      </c>
      <c r="E43" s="24">
        <f>4825+E44</f>
        <v>19739.239999999998</v>
      </c>
      <c r="F43" s="54">
        <f t="shared" si="4"/>
        <v>1.7788074952497972</v>
      </c>
    </row>
    <row r="44" spans="1:7" ht="18" customHeight="1" x14ac:dyDescent="0.2">
      <c r="A44" s="53" t="s">
        <v>95</v>
      </c>
      <c r="B44" s="41" t="s">
        <v>96</v>
      </c>
      <c r="C44" s="13" t="s">
        <v>5</v>
      </c>
      <c r="D44" s="24">
        <f>14787.79/2</f>
        <v>7393.8950000000004</v>
      </c>
      <c r="E44" s="24">
        <v>14914.24</v>
      </c>
      <c r="F44" s="54">
        <f t="shared" si="4"/>
        <v>2.0171019469440665</v>
      </c>
    </row>
    <row r="45" spans="1:7" ht="18" customHeight="1" x14ac:dyDescent="0.2">
      <c r="A45" s="15" t="s">
        <v>64</v>
      </c>
      <c r="B45" s="59" t="s">
        <v>65</v>
      </c>
      <c r="C45" s="15" t="s">
        <v>5</v>
      </c>
      <c r="D45" s="28">
        <f>D5+D20</f>
        <v>4726746.3950000005</v>
      </c>
      <c r="E45" s="28">
        <f>E5+E20</f>
        <v>4594633.43</v>
      </c>
      <c r="F45" s="60">
        <f t="shared" si="4"/>
        <v>0.97204991468555391</v>
      </c>
    </row>
    <row r="46" spans="1:7" ht="18" customHeight="1" x14ac:dyDescent="0.2">
      <c r="A46" s="15" t="s">
        <v>66</v>
      </c>
      <c r="B46" s="59" t="s">
        <v>89</v>
      </c>
      <c r="C46" s="15"/>
      <c r="D46" s="28">
        <v>249929</v>
      </c>
      <c r="E46" s="28">
        <f>E47</f>
        <v>0</v>
      </c>
      <c r="F46" s="60">
        <f t="shared" si="4"/>
        <v>0</v>
      </c>
    </row>
    <row r="47" spans="1:7" s="9" customFormat="1" ht="18" customHeight="1" x14ac:dyDescent="0.2">
      <c r="A47" s="15"/>
      <c r="B47" s="59" t="s">
        <v>83</v>
      </c>
      <c r="C47" s="15"/>
      <c r="D47" s="28">
        <v>249929</v>
      </c>
      <c r="E47" s="28"/>
      <c r="F47" s="60"/>
    </row>
    <row r="48" spans="1:7" ht="42" customHeight="1" x14ac:dyDescent="0.2">
      <c r="A48" s="15" t="s">
        <v>67</v>
      </c>
      <c r="B48" s="61" t="s">
        <v>68</v>
      </c>
      <c r="C48" s="15" t="s">
        <v>5</v>
      </c>
      <c r="D48" s="28">
        <f>(4550377.42+5368303.71)/2</f>
        <v>4959340.5649999995</v>
      </c>
      <c r="E48" s="28">
        <v>5027134.68</v>
      </c>
      <c r="F48" s="60">
        <f>E48/D48</f>
        <v>1.0136699857796518</v>
      </c>
    </row>
    <row r="49" spans="1:6" ht="48" hidden="1" customHeight="1" x14ac:dyDescent="0.2">
      <c r="A49" s="15"/>
      <c r="B49" s="35" t="s">
        <v>90</v>
      </c>
      <c r="C49" s="15" t="s">
        <v>5</v>
      </c>
      <c r="D49" s="22">
        <v>0</v>
      </c>
      <c r="E49" s="22"/>
      <c r="F49" s="62"/>
    </row>
    <row r="50" spans="1:6" s="9" customFormat="1" ht="25.5" hidden="1" x14ac:dyDescent="0.2">
      <c r="A50" s="15"/>
      <c r="B50" s="35" t="s">
        <v>91</v>
      </c>
      <c r="C50" s="15" t="s">
        <v>5</v>
      </c>
      <c r="D50" s="22">
        <f>D48-D49</f>
        <v>4959340.5649999995</v>
      </c>
      <c r="E50" s="22">
        <f>E48</f>
        <v>5027134.68</v>
      </c>
      <c r="F50" s="60">
        <f t="shared" ref="F50:F51" si="5">E50/D50</f>
        <v>1.0136699857796518</v>
      </c>
    </row>
    <row r="51" spans="1:6" s="9" customFormat="1" ht="12.75" x14ac:dyDescent="0.2">
      <c r="A51" s="15" t="s">
        <v>69</v>
      </c>
      <c r="B51" s="61" t="s">
        <v>70</v>
      </c>
      <c r="C51" s="15" t="s">
        <v>71</v>
      </c>
      <c r="D51" s="16">
        <f>SUM(D52:D54)</f>
        <v>25667.800000000003</v>
      </c>
      <c r="E51" s="16">
        <f>SUM(E52:E54)</f>
        <v>25613.87</v>
      </c>
      <c r="F51" s="60">
        <f t="shared" si="5"/>
        <v>0.9978989239436179</v>
      </c>
    </row>
    <row r="52" spans="1:6" s="9" customFormat="1" ht="153" x14ac:dyDescent="0.2">
      <c r="A52" s="15"/>
      <c r="B52" s="21" t="s">
        <v>80</v>
      </c>
      <c r="C52" s="13" t="s">
        <v>71</v>
      </c>
      <c r="D52" s="6">
        <f>(21339.11+19873.11)/2</f>
        <v>20606.11</v>
      </c>
      <c r="E52" s="6">
        <f>14433.32+6136.05</f>
        <v>20569.37</v>
      </c>
      <c r="F52" s="42">
        <f>E52/D52</f>
        <v>0.99821703368563974</v>
      </c>
    </row>
    <row r="53" spans="1:6" s="9" customFormat="1" ht="25.5" x14ac:dyDescent="0.2">
      <c r="A53" s="15"/>
      <c r="B53" s="41" t="s">
        <v>81</v>
      </c>
      <c r="C53" s="13" t="s">
        <v>71</v>
      </c>
      <c r="D53" s="6">
        <f>(615.34+573.07)/2</f>
        <v>594.20500000000004</v>
      </c>
      <c r="E53" s="6">
        <v>620.11</v>
      </c>
      <c r="F53" s="42">
        <f>E53/D53</f>
        <v>1.0435960653309884</v>
      </c>
    </row>
    <row r="54" spans="1:6" s="9" customFormat="1" ht="25.5" x14ac:dyDescent="0.2">
      <c r="A54" s="10"/>
      <c r="B54" s="21" t="s">
        <v>88</v>
      </c>
      <c r="C54" s="11" t="s">
        <v>71</v>
      </c>
      <c r="D54" s="6">
        <f>(4626.41+4308.56)/2</f>
        <v>4467.4850000000006</v>
      </c>
      <c r="E54" s="8">
        <v>4424.3900000000003</v>
      </c>
      <c r="F54" s="39">
        <f>E54/D54</f>
        <v>0.99035363297246659</v>
      </c>
    </row>
    <row r="55" spans="1:6" ht="12.75" x14ac:dyDescent="0.2">
      <c r="A55" s="10" t="s">
        <v>72</v>
      </c>
      <c r="B55" s="46" t="s">
        <v>73</v>
      </c>
      <c r="C55" s="10" t="s">
        <v>74</v>
      </c>
      <c r="D55" s="5">
        <f>16.75</f>
        <v>16.75</v>
      </c>
      <c r="E55" s="5">
        <v>16.75</v>
      </c>
      <c r="F55" s="36">
        <f t="shared" ref="F55:F56" si="6">E55/D55</f>
        <v>1</v>
      </c>
    </row>
    <row r="56" spans="1:6" ht="12.75" x14ac:dyDescent="0.2">
      <c r="A56" s="11"/>
      <c r="B56" s="50" t="s">
        <v>75</v>
      </c>
      <c r="C56" s="12" t="s">
        <v>71</v>
      </c>
      <c r="D56" s="17">
        <f>(6528.24+6080)/2</f>
        <v>6304.12</v>
      </c>
      <c r="E56" s="17">
        <v>6304.12</v>
      </c>
      <c r="F56" s="39">
        <f t="shared" si="6"/>
        <v>1</v>
      </c>
    </row>
    <row r="57" spans="1:6" ht="12.75" x14ac:dyDescent="0.2">
      <c r="A57" s="10" t="s">
        <v>76</v>
      </c>
      <c r="B57" s="46" t="s">
        <v>99</v>
      </c>
      <c r="C57" s="10"/>
      <c r="D57" s="5"/>
      <c r="E57" s="29"/>
      <c r="F57" s="36"/>
    </row>
    <row r="58" spans="1:6" ht="12.75" x14ac:dyDescent="0.2">
      <c r="A58" s="56"/>
      <c r="B58" s="46" t="s">
        <v>101</v>
      </c>
      <c r="C58" s="10" t="s">
        <v>77</v>
      </c>
      <c r="D58" s="5">
        <v>171.19</v>
      </c>
      <c r="E58" s="67">
        <f>E48/E51</f>
        <v>196.26611207131137</v>
      </c>
      <c r="F58" s="36"/>
    </row>
    <row r="59" spans="1:6" ht="12.75" x14ac:dyDescent="0.2">
      <c r="A59" s="56"/>
      <c r="B59" s="46" t="s">
        <v>102</v>
      </c>
      <c r="C59" s="10" t="s">
        <v>77</v>
      </c>
      <c r="D59" s="5">
        <v>216.86</v>
      </c>
      <c r="E59" s="67"/>
      <c r="F59" s="36"/>
    </row>
  </sheetData>
  <mergeCells count="7">
    <mergeCell ref="F3:F4"/>
    <mergeCell ref="E58:E59"/>
    <mergeCell ref="D3:D4"/>
    <mergeCell ref="E3:E4"/>
    <mergeCell ref="A3:A4"/>
    <mergeCell ref="B3:B4"/>
    <mergeCell ref="C3:C4"/>
  </mergeCells>
  <phoneticPr fontId="19" type="noConversion"/>
  <pageMargins left="0" right="0" top="0" bottom="0" header="0" footer="0"/>
  <pageSetup paperSize="9" orientation="portrait" r:id="rId1"/>
  <headerFooter alignWithMargins="0"/>
  <ignoredErrors>
    <ignoredError sqref="A4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вода -рус.яз.</vt:lpstr>
      <vt:lpstr>'вода -рус.яз.'!Заголовки_для_печати</vt:lpstr>
      <vt:lpstr>'вода -рус.яз.'!Область_печати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Папа и Мама</dc:creator>
  <cp:lastModifiedBy>Анастасия Кириллова</cp:lastModifiedBy>
  <cp:lastPrinted>2025-12-19T08:11:37Z</cp:lastPrinted>
  <dcterms:created xsi:type="dcterms:W3CDTF">2016-06-16T06:30:56Z</dcterms:created>
  <dcterms:modified xsi:type="dcterms:W3CDTF">2025-12-22T05:51:25Z</dcterms:modified>
</cp:coreProperties>
</file>