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944" windowWidth="19440" windowHeight="8280" tabRatio="910" activeTab="0"/>
  </bookViews>
  <sheets>
    <sheet name="смета В" sheetId="1" r:id="rId1"/>
    <sheet name="Лист1" sheetId="2" r:id="rId2"/>
  </sheets>
  <definedNames>
    <definedName name="_xlnm.Print_Titles" localSheetId="0">'смета В'!$6:$6</definedName>
    <definedName name="_xlnm.Print_Area" localSheetId="0">'смета В'!$A$1:$I$222</definedName>
  </definedNames>
  <calcPr fullCalcOnLoad="1"/>
</workbook>
</file>

<file path=xl/comments1.xml><?xml version="1.0" encoding="utf-8"?>
<comments xmlns="http://schemas.openxmlformats.org/spreadsheetml/2006/main">
  <authors>
    <author>Peo3</author>
    <author>PEO2</author>
  </authors>
  <commentList>
    <comment ref="B357" authorId="0">
      <text>
        <r>
          <rPr>
            <b/>
            <sz val="8"/>
            <rFont val="Tahoma"/>
            <family val="2"/>
          </rPr>
          <t>Peo3:</t>
        </r>
        <r>
          <rPr>
            <sz val="8"/>
            <rFont val="Tahoma"/>
            <family val="2"/>
          </rPr>
          <t xml:space="preserve">
канц.товары,бланки</t>
        </r>
      </text>
    </comment>
    <comment ref="B362" authorId="0">
      <text>
        <r>
          <rPr>
            <b/>
            <sz val="8"/>
            <rFont val="Tahoma"/>
            <family val="2"/>
          </rPr>
          <t>Peo3:</t>
        </r>
        <r>
          <rPr>
            <sz val="8"/>
            <rFont val="Tahoma"/>
            <family val="2"/>
          </rPr>
          <t xml:space="preserve">
из лимитов</t>
        </r>
      </text>
    </comment>
    <comment ref="B129" authorId="1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+аудит, переоценка ОС, вывеска, по сч.7211 обработка архива, нотариус, регистрация недв.имущества</t>
        </r>
      </text>
    </comment>
  </commentList>
</comments>
</file>

<file path=xl/sharedStrings.xml><?xml version="1.0" encoding="utf-8"?>
<sst xmlns="http://schemas.openxmlformats.org/spreadsheetml/2006/main" count="1124" uniqueCount="374">
  <si>
    <t>1.</t>
  </si>
  <si>
    <t>5.</t>
  </si>
  <si>
    <t>7.1.2.</t>
  </si>
  <si>
    <t xml:space="preserve">Оплата работ и услуг производственного  характера, выполняемых  сторонними организациями </t>
  </si>
  <si>
    <t>6.</t>
  </si>
  <si>
    <t>Прочие  затраты</t>
  </si>
  <si>
    <t xml:space="preserve">  Расходы периода,    всего     </t>
  </si>
  <si>
    <t>7.</t>
  </si>
  <si>
    <t>Общие и административные расходы,  всего</t>
  </si>
  <si>
    <t>7.1.</t>
  </si>
  <si>
    <t>7.1.1.</t>
  </si>
  <si>
    <t>8.7.</t>
  </si>
  <si>
    <t>прочие  затраты</t>
  </si>
  <si>
    <t>тыс.кВт</t>
  </si>
  <si>
    <t>8.8.</t>
  </si>
  <si>
    <t>VIII.</t>
  </si>
  <si>
    <t>III.</t>
  </si>
  <si>
    <t>IV.</t>
  </si>
  <si>
    <t>%</t>
  </si>
  <si>
    <t>VII.</t>
  </si>
  <si>
    <t xml:space="preserve">Объемы оказываемых услуг </t>
  </si>
  <si>
    <t>1.2.</t>
  </si>
  <si>
    <t>1.3.</t>
  </si>
  <si>
    <t xml:space="preserve">Всего затрат  на предоставление услуг   </t>
  </si>
  <si>
    <t xml:space="preserve">  -"-  в натуральных показателях</t>
  </si>
  <si>
    <t>IX.</t>
  </si>
  <si>
    <t xml:space="preserve"> тенге/м3</t>
  </si>
  <si>
    <t>I.</t>
  </si>
  <si>
    <t>2.</t>
  </si>
  <si>
    <t>3.</t>
  </si>
  <si>
    <t>4.</t>
  </si>
  <si>
    <t>тыс. тенге</t>
  </si>
  <si>
    <t xml:space="preserve"> Материальные затраты</t>
  </si>
  <si>
    <t>1.1.</t>
  </si>
  <si>
    <t>Единицы измерения</t>
  </si>
  <si>
    <t xml:space="preserve"> Наименование показателей  тарифной  сметы</t>
  </si>
  <si>
    <t>тыс.м3</t>
  </si>
  <si>
    <t>сопровождение и развитие программного продукта 1С</t>
  </si>
  <si>
    <t>8.</t>
  </si>
  <si>
    <t>Расходы на содержание службы сбыта,  всего</t>
  </si>
  <si>
    <t>8.1.</t>
  </si>
  <si>
    <t>8.2.</t>
  </si>
  <si>
    <t>8.3.</t>
  </si>
  <si>
    <t>8.4.</t>
  </si>
  <si>
    <t>8.5.</t>
  </si>
  <si>
    <t>8.6.</t>
  </si>
  <si>
    <t>7.2.</t>
  </si>
  <si>
    <t>7.3.</t>
  </si>
  <si>
    <t>7.4.</t>
  </si>
  <si>
    <t>7.5.</t>
  </si>
  <si>
    <t>7.6.</t>
  </si>
  <si>
    <t>7.7.</t>
  </si>
  <si>
    <t>7.8.</t>
  </si>
  <si>
    <t>7.9.</t>
  </si>
  <si>
    <t>1.4.</t>
  </si>
  <si>
    <t>Затраты на оплату труда</t>
  </si>
  <si>
    <t>2.1.</t>
  </si>
  <si>
    <t>2.2.</t>
  </si>
  <si>
    <t>3.1.</t>
  </si>
  <si>
    <t>3.2.</t>
  </si>
  <si>
    <t>4.1.</t>
  </si>
  <si>
    <t>4.2.</t>
  </si>
  <si>
    <t>персонала ,занятого на кап. ремонте с удорожанием стоимости ОС</t>
  </si>
  <si>
    <t>9.4.</t>
  </si>
  <si>
    <t>административного  персонала</t>
  </si>
  <si>
    <t>9.5.</t>
  </si>
  <si>
    <t>водители служебных автомобилей</t>
  </si>
  <si>
    <t>10.</t>
  </si>
  <si>
    <t>персонала службы реализации услуг</t>
  </si>
  <si>
    <t>10.1.</t>
  </si>
  <si>
    <t>Среднемесячная заработная плата, всего,</t>
  </si>
  <si>
    <t>тенге\м-ц</t>
  </si>
  <si>
    <t>10.2.</t>
  </si>
  <si>
    <t>10.3.</t>
  </si>
  <si>
    <t>10.4.</t>
  </si>
  <si>
    <t>Справочно:</t>
  </si>
  <si>
    <t>9.</t>
  </si>
  <si>
    <t>Среднесписочная численность персонала</t>
  </si>
  <si>
    <t>человек</t>
  </si>
  <si>
    <t>9.1.</t>
  </si>
  <si>
    <t>в том числе :</t>
  </si>
  <si>
    <t>9.2.</t>
  </si>
  <si>
    <t>производственного  персонала</t>
  </si>
  <si>
    <t>9.3.</t>
  </si>
  <si>
    <t xml:space="preserve">  цена электроэнергии</t>
  </si>
  <si>
    <t>прочие потребители</t>
  </si>
  <si>
    <t xml:space="preserve">                                                  в натуральных показателях</t>
  </si>
  <si>
    <t>сервисное обслуживание  теплосчетчиков,лабораторного оборудования</t>
  </si>
  <si>
    <t>Вознаграждения по кредитам, всего в т.ч.</t>
  </si>
  <si>
    <t>% по кредиту ЕБРР</t>
  </si>
  <si>
    <t>% по кредиту "Нұрлы Жол"</t>
  </si>
  <si>
    <t xml:space="preserve">Всего доходов </t>
  </si>
  <si>
    <t>Объём   поднятой   воды</t>
  </si>
  <si>
    <t>в том числе:</t>
  </si>
  <si>
    <t>инвентаризация и составление паспортов парниковых газов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</si>
  <si>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</si>
  <si>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</si>
  <si>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</si>
  <si>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</si>
  <si>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</si>
  <si>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</si>
  <si>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</si>
  <si>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</si>
  <si>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</si>
  <si>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</si>
  <si>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</si>
  <si>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</si>
  <si>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</si>
  <si>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</si>
  <si>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</si>
  <si>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анализ воздействия предприятия на окружающую среду</t>
  </si>
  <si>
    <t>Прибыль</t>
  </si>
  <si>
    <t>аморт</t>
  </si>
  <si>
    <t>приб</t>
  </si>
  <si>
    <t>всего</t>
  </si>
  <si>
    <t>тенге/кВт</t>
  </si>
  <si>
    <t>выполненный  сторонними организациями</t>
  </si>
  <si>
    <t>выполненный хоз.способом</t>
  </si>
  <si>
    <t xml:space="preserve"> Затраты на производство и предоставление услуг, всего </t>
  </si>
  <si>
    <r>
      <t xml:space="preserve">Наименование субъекта: </t>
    </r>
    <r>
      <rPr>
        <b/>
        <sz val="14"/>
        <rFont val="Times New Roman"/>
        <family val="1"/>
      </rPr>
      <t xml:space="preserve"> ГКП "Өскемен Водоканал" акимата города Усть-Каменогорска</t>
    </r>
  </si>
  <si>
    <t>Изменения  по пересмотру</t>
  </si>
  <si>
    <t>оплата  труда ,всего, в т.ч.</t>
  </si>
  <si>
    <t xml:space="preserve">заработная плата административного персонала    </t>
  </si>
  <si>
    <t>налоги, всего, в т.ч.:</t>
  </si>
  <si>
    <t>износ основных средств</t>
  </si>
  <si>
    <t>амортизация нематериальных активов</t>
  </si>
  <si>
    <t>электроэнергия</t>
  </si>
  <si>
    <t>теплоэнергия</t>
  </si>
  <si>
    <t>материалы на содержание и текущий  ремонт</t>
  </si>
  <si>
    <t xml:space="preserve">заработная плата     </t>
  </si>
  <si>
    <t>амортизация  нематериальных  активов</t>
  </si>
  <si>
    <t xml:space="preserve">материалы  на содержание </t>
  </si>
  <si>
    <t xml:space="preserve">заработная плата </t>
  </si>
  <si>
    <t xml:space="preserve">ГСМ        </t>
  </si>
  <si>
    <t>II.</t>
  </si>
  <si>
    <t>№ п/п</t>
  </si>
  <si>
    <t>Нормативно-технические потери</t>
  </si>
  <si>
    <t>Текущий и капитальный ремонт, не приводящий к увеличению стоимости основных средств</t>
  </si>
  <si>
    <t xml:space="preserve">       Директор ГКП на ПХВ"Өскемен Водоканал"                                                     Е.М.Аубакиров</t>
  </si>
  <si>
    <t>совместное содержание  основных средств</t>
  </si>
  <si>
    <t>испытание страховочного инвентаря</t>
  </si>
  <si>
    <t>техническое обслуживание хлораторных и электролизных установок</t>
  </si>
  <si>
    <t>услуги по хлорированию воды</t>
  </si>
  <si>
    <t>исследование качества питьевой воды</t>
  </si>
  <si>
    <t>услуги утилизации</t>
  </si>
  <si>
    <t>охрана  объектов</t>
  </si>
  <si>
    <t>сан.очистка</t>
  </si>
  <si>
    <t>услуги связи</t>
  </si>
  <si>
    <t>налог на добычу полезных ископаемых (НДПИ)</t>
  </si>
  <si>
    <t xml:space="preserve">проездные </t>
  </si>
  <si>
    <t>страхование автотранспорта</t>
  </si>
  <si>
    <t>командировочные расходы</t>
  </si>
  <si>
    <t>медицинский осмотр</t>
  </si>
  <si>
    <t>обслуживание транспортных средств</t>
  </si>
  <si>
    <t>повышение квалификации</t>
  </si>
  <si>
    <t>сан.очистка и дезинфекция</t>
  </si>
  <si>
    <t>имущественный налог</t>
  </si>
  <si>
    <t>земельный  налог</t>
  </si>
  <si>
    <t>налог на транспорт</t>
  </si>
  <si>
    <t>услуги по поверке средств измерений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</si>
  <si>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</si>
  <si>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</si>
  <si>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</si>
  <si>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</si>
  <si>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</si>
  <si>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</si>
  <si>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</si>
  <si>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</si>
  <si>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</si>
  <si>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</si>
  <si>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ликвидационный фонд</t>
  </si>
  <si>
    <t>прочие маркетинговые услуги (СМИ)</t>
  </si>
  <si>
    <t xml:space="preserve">экологическое страхование </t>
  </si>
  <si>
    <t>обязательное  страхование 3-х лиц</t>
  </si>
  <si>
    <t xml:space="preserve">обязательное  страхование работников </t>
  </si>
  <si>
    <t>услуги банка</t>
  </si>
  <si>
    <t>обслуживание оргтехники</t>
  </si>
  <si>
    <t>почтовые  расходы</t>
  </si>
  <si>
    <t>охрана касс и сигнализация</t>
  </si>
  <si>
    <t>связь</t>
  </si>
  <si>
    <t>проездные</t>
  </si>
  <si>
    <t>Тариф по предельному уровню за м3, без НДС</t>
  </si>
  <si>
    <t>эмиссия в окружающую среду</t>
  </si>
  <si>
    <t>командировочные  расходы</t>
  </si>
  <si>
    <t>информационные  и консультативные услуги</t>
  </si>
  <si>
    <t>повышение квалификации АУП</t>
  </si>
  <si>
    <t>7.3.1</t>
  </si>
  <si>
    <t>7.3.2</t>
  </si>
  <si>
    <t>7.3.3</t>
  </si>
  <si>
    <t>8.8.1</t>
  </si>
  <si>
    <t>8.8.2</t>
  </si>
  <si>
    <t>8.8.3</t>
  </si>
  <si>
    <t>8.8.4</t>
  </si>
  <si>
    <t>8.8.5</t>
  </si>
  <si>
    <t>8.8.6</t>
  </si>
  <si>
    <t>обслуживание системы "Мокрый барьер"</t>
  </si>
  <si>
    <t>6.11</t>
  </si>
  <si>
    <t>оказание прачечных услуг (стирка, сушка) спецодежды</t>
  </si>
  <si>
    <t>прочие накладные расходы</t>
  </si>
  <si>
    <t>финансовая экспертиза</t>
  </si>
  <si>
    <t>техническая экспертиза</t>
  </si>
  <si>
    <t>энергоаудит</t>
  </si>
  <si>
    <t>мониторинг подземных вод</t>
  </si>
  <si>
    <t>экспертные заключения</t>
  </si>
  <si>
    <t>8.8.7</t>
  </si>
  <si>
    <t>услуги экспертизы</t>
  </si>
  <si>
    <t>5.16</t>
  </si>
  <si>
    <t>5.18</t>
  </si>
  <si>
    <t>ОСМС</t>
  </si>
  <si>
    <t>отклонение</t>
  </si>
  <si>
    <t>износ  основных средств(начислено по бух.учету)</t>
  </si>
  <si>
    <t>в т.ч.износ  основных средств(по кредиту ЕБРР)</t>
  </si>
  <si>
    <t>физические лица, организации, занимающиеся производством тепловой энергии, в пределах объемов потребления воды на собственные нужды в процессе производства тепловой энергии и объемов подпитки при предоставлении услуг горячего водоснабжения (при открытой системе горячего водоснабжения), организации, занимающиеся передачей и распределением тепловой энергии, в пределах объемов утвержденных нормативных технических потерь и организации, предоставляющие регулируемые услуги в сфере водоснабжения и (или) водоотведения</t>
  </si>
  <si>
    <t>организации, содержащиеся за счет бюджетных средств</t>
  </si>
  <si>
    <t>Факт (июль-август 2022г)</t>
  </si>
  <si>
    <t>Утверждено приказ № ...-ОД от 29.11.2022г</t>
  </si>
  <si>
    <t>отчисления от оплаты труда:</t>
  </si>
  <si>
    <t>социальные отчисления</t>
  </si>
  <si>
    <t>социальный налог</t>
  </si>
  <si>
    <t>амортизация  нематериальных  активов(начис-но по бухучету)</t>
  </si>
  <si>
    <t>на выполнение инвест.программы</t>
  </si>
  <si>
    <t xml:space="preserve">Амортизация, всего </t>
  </si>
  <si>
    <t>3.3.</t>
  </si>
  <si>
    <t>на возврат основного долга Нурлы Жол</t>
  </si>
  <si>
    <t>оформление продления Контракта на добычу подземных вод по водозаборам</t>
  </si>
  <si>
    <t>услуги по профилактическим аварийно-спасательным работам</t>
  </si>
  <si>
    <t>инспекционная проверка проведения работ по аккредитации</t>
  </si>
  <si>
    <t>проверка эффективности систем вентиляции</t>
  </si>
  <si>
    <t>подписка на периодическую печать</t>
  </si>
  <si>
    <t>заработная плата водителей служебного транспорта</t>
  </si>
  <si>
    <t>отчисления от оплаты труда, в т.ч.:</t>
  </si>
  <si>
    <t>обязательное социальное медицинское страхование (ОСМС)</t>
  </si>
  <si>
    <t xml:space="preserve">содержание  служебного транспорта, в т.ч. </t>
  </si>
  <si>
    <t>топливо</t>
  </si>
  <si>
    <t>7.1.2.2</t>
  </si>
  <si>
    <t>7.1.2.1</t>
  </si>
  <si>
    <t>7.1.2.3</t>
  </si>
  <si>
    <t>амортизация основных средств</t>
  </si>
  <si>
    <t>7.9.1</t>
  </si>
  <si>
    <t>7.9.2</t>
  </si>
  <si>
    <t>7.9.3</t>
  </si>
  <si>
    <t>7.9.4</t>
  </si>
  <si>
    <t>7.9.5</t>
  </si>
  <si>
    <t>7.9.6</t>
  </si>
  <si>
    <t>7.9.7</t>
  </si>
  <si>
    <t>7.9.8</t>
  </si>
  <si>
    <t>7.9.9</t>
  </si>
  <si>
    <t>7.9.10</t>
  </si>
  <si>
    <t>7.9.11</t>
  </si>
  <si>
    <t>7.9.12</t>
  </si>
  <si>
    <t>7.9.13</t>
  </si>
  <si>
    <t>7.9.13.1</t>
  </si>
  <si>
    <t>7.9.13.2</t>
  </si>
  <si>
    <t>7.9.13.2.1</t>
  </si>
  <si>
    <t>7.9.13.2.2</t>
  </si>
  <si>
    <t>7.9.13.2.3</t>
  </si>
  <si>
    <t>7.9.13.3</t>
  </si>
  <si>
    <t>7.9.13.4</t>
  </si>
  <si>
    <t>7.9.14</t>
  </si>
  <si>
    <t>7.9.15</t>
  </si>
  <si>
    <t>7.9.16</t>
  </si>
  <si>
    <t>7.9.17</t>
  </si>
  <si>
    <t>7.9.18</t>
  </si>
  <si>
    <t>7.9.18.1</t>
  </si>
  <si>
    <t>7.9.18.2</t>
  </si>
  <si>
    <t>7.9.19</t>
  </si>
  <si>
    <t>7.9.20</t>
  </si>
  <si>
    <t>8.2.1.</t>
  </si>
  <si>
    <t>8.2.2.</t>
  </si>
  <si>
    <t>8.2.3.</t>
  </si>
  <si>
    <t>тыс.м4</t>
  </si>
  <si>
    <t xml:space="preserve">прочие потребители </t>
  </si>
  <si>
    <t>организации, содержащиеся за счет бюджетнных средств</t>
  </si>
  <si>
    <t>Объем воды на собственные нужды</t>
  </si>
  <si>
    <t>Сумма необоснованно полученного дохода, установленная по итогам анализа исполнения тарифной сметы за 2021 год</t>
  </si>
  <si>
    <t>Всего доходов  с учетом суммы необоснованно полученного дохода , в том числе</t>
  </si>
  <si>
    <t>прочие  затраты, в т.ч.</t>
  </si>
  <si>
    <t>Утверждено, приказ № 159-ОД от 25.07.2022г</t>
  </si>
  <si>
    <t>Тарифная смета на услуги водоотведения</t>
  </si>
  <si>
    <t>обязательные профессиональные пенсионные взносы ОППВ</t>
  </si>
  <si>
    <t>вывоз и захоронение илистых отходов</t>
  </si>
  <si>
    <t>разработка нормативов обращения с отходами</t>
  </si>
  <si>
    <t>разработка и согласование проекта нормативов ПДВ</t>
  </si>
  <si>
    <t>5.17</t>
  </si>
  <si>
    <t>7.9.12.1</t>
  </si>
  <si>
    <t>7.9.12.2</t>
  </si>
  <si>
    <t>7.9.12.2.1</t>
  </si>
  <si>
    <t>7.9.12.2.2</t>
  </si>
  <si>
    <t>7.9.12.2.3</t>
  </si>
  <si>
    <t>7.9.12.3</t>
  </si>
  <si>
    <t>7.9.12.4</t>
  </si>
  <si>
    <t>7.9.17.1</t>
  </si>
  <si>
    <t>7.9.17.2</t>
  </si>
  <si>
    <t>Сумма необоснованно полученного дохода, установленная по итогам анализа исполнения  тарифной сметы и инвестиционной программы</t>
  </si>
  <si>
    <t>ожидаемый факт 12 мес</t>
  </si>
  <si>
    <t>амортизация основных средств по бух.учету</t>
  </si>
  <si>
    <t>затраты по предоставлению прав на недропользование</t>
  </si>
  <si>
    <t>покупка электрической энергии и другие сопутствующие услуги, в том числе:</t>
  </si>
  <si>
    <t>покупка от УК ГЭС, в том числе:</t>
  </si>
  <si>
    <t xml:space="preserve"> в натуральных показателях</t>
  </si>
  <si>
    <t>покупка от УК ТЭЦ, в том числе:</t>
  </si>
  <si>
    <t>в натуральных показателях</t>
  </si>
  <si>
    <t>услуги РФЦ по ВИЭ, в том числе:</t>
  </si>
  <si>
    <t>тариф</t>
  </si>
  <si>
    <t>услуги АО "KEGOC" по балансированию электрической энергии, в том числе:</t>
  </si>
  <si>
    <t>передача электрической энергии, в том числе:</t>
  </si>
  <si>
    <t>по сетям  АО "KEGOC", в том числе:</t>
  </si>
  <si>
    <t>по сетям  АО "ОЭСК", в том числе:</t>
  </si>
  <si>
    <t xml:space="preserve">                 в натуральных показателях</t>
  </si>
  <si>
    <t>по сетям  ТОО "ВК Энергия", в том числе:</t>
  </si>
  <si>
    <t>по сетям  ТОО"СиП", в том числе:</t>
  </si>
  <si>
    <t>по сетям  ТОО "Энергис", в том числе:</t>
  </si>
  <si>
    <t>по сетям АО "Аэропорт Усть-Каменогорск", в том числе:</t>
  </si>
  <si>
    <t>по сетям  ТОО "Казцинк-Энерго", в том числе:</t>
  </si>
  <si>
    <t>по сетям  Семейская дистанция электроснабжения АО "НК "КТЖ", в том числе:</t>
  </si>
  <si>
    <t>МВт</t>
  </si>
  <si>
    <t>тенге/МВт</t>
  </si>
  <si>
    <t xml:space="preserve">       Директор ГКП на ПХВ"Өскемен Водоканал"                                              Е.М.Аубакиров</t>
  </si>
  <si>
    <t>Ед. измерения</t>
  </si>
  <si>
    <t>Проект субъекта к утверждению (период с 01.07.2022г. -31.06.2023г.)</t>
  </si>
  <si>
    <t>01.07.22-31.12.22</t>
  </si>
  <si>
    <t>01.01.23-30.06.23</t>
  </si>
  <si>
    <t>ЧРМ</t>
  </si>
  <si>
    <t xml:space="preserve">амортизация основных средств </t>
  </si>
  <si>
    <t>Директор ГКП на ПХВ "Өскемен Водоканал"</t>
  </si>
  <si>
    <t xml:space="preserve"> </t>
  </si>
  <si>
    <t>Е.М. Аубакиров</t>
  </si>
  <si>
    <t>Утверждено  с 01.07.2023г по 30.06.2023г, приказ №244-ОД от 22.11.2022г</t>
  </si>
  <si>
    <t>Утверждено на 2022г, приказ № 277-ОД от 29.11.2021г</t>
  </si>
  <si>
    <t>перезарядка и техобслуживание огнетушителей</t>
  </si>
  <si>
    <t xml:space="preserve">аттестация рабочих мест </t>
  </si>
  <si>
    <t>лицензирование</t>
  </si>
  <si>
    <t>население</t>
  </si>
  <si>
    <t>предприятия, занимающиеся производством тепловой энергии и оказанием услуг горячего водоснабжения</t>
  </si>
  <si>
    <t>Предусмотрено в утвержденной тарифной смете</t>
  </si>
  <si>
    <t>Фактически сложившиеся показатели тарифной сметы</t>
  </si>
  <si>
    <t>Отклонение, %</t>
  </si>
  <si>
    <t>Причины отклонения</t>
  </si>
  <si>
    <t>услуги по обработке платежного документа</t>
  </si>
  <si>
    <t>Тарифная смета на услуги водоснабжения за 2022 год</t>
  </si>
  <si>
    <t>План затрат состоит из среднего значения двух тарифных смет</t>
  </si>
  <si>
    <t>увеличение стоимости услуг теплоснабжения</t>
  </si>
  <si>
    <t>сверхурочные работы, связанные с устранением аварийных ситуаций на сетях</t>
  </si>
  <si>
    <t>по факту выполнения ИП</t>
  </si>
  <si>
    <t>удорожание стоимости услуг</t>
  </si>
  <si>
    <t>рост цены на хлор и его транспортировку</t>
  </si>
  <si>
    <t>увеличение стоимости за пользование мостом ч/з р.Ульба</t>
  </si>
  <si>
    <t>обследование тех.состояния хлораторной</t>
  </si>
  <si>
    <t>исполнение требований Кодекса о недрах и недропользовании, Водного кодекса РК</t>
  </si>
  <si>
    <t>сокращение затрат в связи с их перераспределением</t>
  </si>
  <si>
    <t>увеличение объемов реализации услуг</t>
  </si>
  <si>
    <t>политика предприятия по сокращению затрат</t>
  </si>
  <si>
    <t>согласно Налогового Кодекса РК</t>
  </si>
  <si>
    <t>удорожание материалов</t>
  </si>
  <si>
    <t>увеличение корреспонденции по должникам</t>
  </si>
  <si>
    <t>удорожание стоимости проезда с 60 до 130 тенге</t>
  </si>
  <si>
    <t>обработка архива, переоценка ОС, аудит, изготовление вывески, регистрация недвиж.имущества</t>
  </si>
  <si>
    <t>факт в апреле 2023г, экспериза инвест.программы</t>
  </si>
  <si>
    <t>увеличение ставки по займу</t>
  </si>
  <si>
    <t>сверхурочные работы, связанные с устранением аварийных ситуаций и текучестью кадров</t>
  </si>
  <si>
    <t>удорожание стоимости услуг(Call-центр)</t>
  </si>
  <si>
    <t>внедрение ЕПД по распоряжению акимата ВКО, не предусмотрено при утверждении ТС</t>
  </si>
  <si>
    <t>износ сетей 62%</t>
  </si>
  <si>
    <t>исп.Раченкова Л.В.</t>
  </si>
  <si>
    <t>рост цен бензина и дизтоплива</t>
  </si>
  <si>
    <t>увеличение объемов потребления услуг и стоимости стратег.товара</t>
  </si>
  <si>
    <t>незапланированные затраты, связанные с устранением аварийных ситуаций, износом сетей на 62%</t>
  </si>
  <si>
    <t>сверхурочные работы, удорожание ГСМ</t>
  </si>
  <si>
    <t>Планируемый объем средневзвешенный, состоит из среднего значения двух тарифных смет</t>
  </si>
  <si>
    <t>оплата согласно счета на оплату, изменение графика</t>
  </si>
  <si>
    <t>исполнение обязательств по договору цессии за 2021год</t>
  </si>
  <si>
    <t>дефицит утвержденных затрат, исполнено согласно требований Экологического кодекса РК</t>
  </si>
  <si>
    <t>мероприятия (лицензия на мобильное приложение и сайт) , проведенные в рамках всеобщей цифровизации</t>
  </si>
  <si>
    <t>внеплановые работы, обслуживание эл.очереди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</si>
</sst>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0.0%"/>
    <numFmt numFmtId="177" formatCode="0.0000"/>
    <numFmt numFmtId="178" formatCode="#,##0.0000"/>
    <numFmt numFmtId="179" formatCode="_-* #,##0.0_р_._-;\-* #,##0.0_р_._-;_-* &quot;-&quot;??_р_._-;_-@_-"/>
    <numFmt numFmtId="180" formatCode="_-* #,##0_р_._-;\-* #,##0_р_._-;_-* &quot;-&quot;??_р_._-;_-@_-"/>
    <numFmt numFmtId="181" formatCode="0.00000000"/>
    <numFmt numFmtId="182" formatCode="#,##0.0_ ;\-#,##0.0\ 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 ;\-#,##0.00\ "/>
    <numFmt numFmtId="189" formatCode="#,##0_ ;\-#,##0\ "/>
    <numFmt numFmtId="190" formatCode="0.00000"/>
    <numFmt numFmtId="191" formatCode="0.000000"/>
    <numFmt numFmtId="192" formatCode="0.000%"/>
    <numFmt numFmtId="193" formatCode="#,##0.00000"/>
    <numFmt numFmtId="194" formatCode="#,##0.000000"/>
    <numFmt numFmtId="195" formatCode="#,##0.0000000"/>
    <numFmt numFmtId="196" formatCode="[$-FC19]d\ mmmm\ yyyy\ &quot;г.&quot;"/>
    <numFmt numFmtId="197" formatCode="0.0000%"/>
    <numFmt numFmtId="198" formatCode="0.0000000"/>
    <numFmt numFmtId="199" formatCode="#,##0.00_р_."/>
    <numFmt numFmtId="200" formatCode="#,##0.0_р_."/>
    <numFmt numFmtId="201" formatCode="#,##0_р_."/>
    <numFmt numFmtId="202" formatCode="_-* #,##0.0\ _₽_-;\-* #,##0.0\ _₽_-;_-* &quot;-&quot;??\ _₽_-;_-@_-"/>
    <numFmt numFmtId="203" formatCode="_-* #,##0\ _₽_-;\-* #,##0\ _₽_-;_-* &quot;-&quot;??\ _₽_-;_-@_-"/>
    <numFmt numFmtId="204" formatCode="#,##0.000_р_."/>
    <numFmt numFmtId="205" formatCode="#,##0.0000_р_."/>
    <numFmt numFmtId="206" formatCode="#,##0&quot;р.&quot;;\(#,##0\)&quot;р.&quot;"/>
    <numFmt numFmtId="207" formatCode="#,##0;\(#,##0\)"/>
  </numFmts>
  <fonts count="8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Arial Cyr"/>
      <family val="2"/>
    </font>
    <font>
      <b/>
      <i/>
      <sz val="11"/>
      <name val="Times New Roman"/>
      <family val="1"/>
    </font>
    <font>
      <b/>
      <i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i/>
      <sz val="10"/>
      <color indexed="9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0"/>
      <color theme="0"/>
      <name val="Arial Cyr"/>
      <family val="0"/>
    </font>
    <font>
      <b/>
      <sz val="14"/>
      <color rgb="FFFF0000"/>
      <name val="Arial Cyr"/>
      <family val="0"/>
    </font>
    <font>
      <sz val="14"/>
      <color theme="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2" applyNumberFormat="0" applyAlignment="0" applyProtection="0"/>
    <xf numFmtId="0" fontId="66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5" borderId="7" applyNumberFormat="0" applyAlignment="0" applyProtection="0"/>
    <xf numFmtId="0" fontId="52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29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174" fontId="11" fillId="0" borderId="0" xfId="0" applyNumberFormat="1" applyFont="1" applyFill="1" applyBorder="1" applyAlignment="1">
      <alignment horizontal="center" vertical="center"/>
    </xf>
    <xf numFmtId="174" fontId="12" fillId="0" borderId="0" xfId="0" applyNumberFormat="1" applyFont="1" applyFill="1" applyBorder="1" applyAlignment="1">
      <alignment horizontal="center" vertical="center"/>
    </xf>
    <xf numFmtId="10" fontId="19" fillId="0" borderId="0" xfId="58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76" fontId="11" fillId="0" borderId="0" xfId="58" applyNumberFormat="1" applyFont="1" applyFill="1" applyBorder="1" applyAlignment="1">
      <alignment horizontal="center" vertical="center"/>
    </xf>
    <xf numFmtId="9" fontId="12" fillId="0" borderId="0" xfId="58" applyFont="1" applyFill="1" applyBorder="1" applyAlignment="1">
      <alignment horizontal="center" vertical="center"/>
    </xf>
    <xf numFmtId="0" fontId="29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71" fontId="19" fillId="0" borderId="10" xfId="62" applyFont="1" applyFill="1" applyBorder="1" applyAlignment="1">
      <alignment vertical="center"/>
    </xf>
    <xf numFmtId="172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indent="2"/>
    </xf>
    <xf numFmtId="4" fontId="19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175" fontId="18" fillId="0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6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 indent="2"/>
    </xf>
    <xf numFmtId="17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indent="4"/>
    </xf>
    <xf numFmtId="0" fontId="19" fillId="0" borderId="10" xfId="0" applyFont="1" applyFill="1" applyBorder="1" applyAlignment="1">
      <alignment horizontal="left" vertical="center" wrapText="1" indent="1"/>
    </xf>
    <xf numFmtId="172" fontId="16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74" fontId="19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174" fontId="3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 indent="2"/>
    </xf>
    <xf numFmtId="0" fontId="19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indent="2"/>
    </xf>
    <xf numFmtId="4" fontId="14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indent="2"/>
    </xf>
    <xf numFmtId="0" fontId="1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172" fontId="19" fillId="30" borderId="10" xfId="0" applyNumberFormat="1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vertical="center"/>
    </xf>
    <xf numFmtId="0" fontId="11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0" fontId="19" fillId="0" borderId="0" xfId="59" applyNumberFormat="1" applyFont="1" applyFill="1" applyBorder="1" applyAlignment="1">
      <alignment vertical="center"/>
    </xf>
    <xf numFmtId="176" fontId="11" fillId="0" borderId="0" xfId="59" applyNumberFormat="1" applyFont="1" applyFill="1" applyBorder="1" applyAlignment="1">
      <alignment horizontal="center" vertical="center"/>
    </xf>
    <xf numFmtId="9" fontId="12" fillId="0" borderId="0" xfId="59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4" fontId="19" fillId="0" borderId="10" xfId="65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vertical="center"/>
    </xf>
    <xf numFmtId="17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 horizontal="right" vertical="center"/>
    </xf>
    <xf numFmtId="4" fontId="75" fillId="0" borderId="0" xfId="0" applyNumberFormat="1" applyFont="1" applyFill="1" applyBorder="1" applyAlignment="1">
      <alignment/>
    </xf>
    <xf numFmtId="4" fontId="76" fillId="0" borderId="10" xfId="0" applyNumberFormat="1" applyFont="1" applyFill="1" applyBorder="1" applyAlignment="1">
      <alignment horizontal="right" vertical="center"/>
    </xf>
    <xf numFmtId="4" fontId="75" fillId="0" borderId="0" xfId="0" applyNumberFormat="1" applyFont="1" applyFill="1" applyBorder="1" applyAlignment="1">
      <alignment horizontal="center" vertical="center"/>
    </xf>
    <xf numFmtId="175" fontId="17" fillId="0" borderId="10" xfId="65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/>
    </xf>
    <xf numFmtId="4" fontId="76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37" fillId="7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17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Fill="1" applyBorder="1" applyAlignment="1">
      <alignment horizontal="center" vertical="center"/>
    </xf>
    <xf numFmtId="9" fontId="19" fillId="0" borderId="1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right" vertical="center"/>
    </xf>
    <xf numFmtId="175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175" fontId="41" fillId="0" borderId="10" xfId="0" applyNumberFormat="1" applyFont="1" applyFill="1" applyBorder="1" applyAlignment="1">
      <alignment horizontal="center" vertical="center"/>
    </xf>
    <xf numFmtId="175" fontId="21" fillId="0" borderId="10" xfId="65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71" fontId="19" fillId="0" borderId="0" xfId="65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4" fontId="19" fillId="0" borderId="11" xfId="62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175" fontId="18" fillId="0" borderId="11" xfId="0" applyNumberFormat="1" applyFont="1" applyFill="1" applyBorder="1" applyAlignment="1">
      <alignment horizontal="center" vertical="center"/>
    </xf>
    <xf numFmtId="4" fontId="14" fillId="31" borderId="11" xfId="62" applyNumberFormat="1" applyFont="1" applyFill="1" applyBorder="1" applyAlignment="1">
      <alignment horizontal="center" vertical="center" wrapText="1"/>
    </xf>
    <xf numFmtId="4" fontId="27" fillId="31" borderId="11" xfId="62" applyNumberFormat="1" applyFont="1" applyFill="1" applyBorder="1" applyAlignment="1">
      <alignment horizontal="center" vertical="center" wrapText="1"/>
    </xf>
    <xf numFmtId="4" fontId="19" fillId="31" borderId="11" xfId="62" applyNumberFormat="1" applyFont="1" applyFill="1" applyBorder="1" applyAlignment="1">
      <alignment horizontal="center" vertical="center" wrapText="1"/>
    </xf>
    <xf numFmtId="175" fontId="19" fillId="31" borderId="11" xfId="62" applyNumberFormat="1" applyFont="1" applyFill="1" applyBorder="1" applyAlignment="1">
      <alignment horizontal="center" vertical="center" wrapText="1"/>
    </xf>
    <xf numFmtId="4" fontId="19" fillId="30" borderId="11" xfId="62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 vertical="center"/>
    </xf>
    <xf numFmtId="4" fontId="79" fillId="0" borderId="11" xfId="0" applyNumberFormat="1" applyFont="1" applyFill="1" applyBorder="1" applyAlignment="1">
      <alignment horizontal="center" vertical="center"/>
    </xf>
    <xf numFmtId="10" fontId="19" fillId="0" borderId="11" xfId="58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74" fontId="19" fillId="0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41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76" fontId="19" fillId="0" borderId="10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172" fontId="14" fillId="0" borderId="14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/>
    </xf>
    <xf numFmtId="4" fontId="14" fillId="0" borderId="13" xfId="0" applyNumberFormat="1" applyFont="1" applyFill="1" applyBorder="1" applyAlignment="1">
      <alignment vertical="center"/>
    </xf>
    <xf numFmtId="4" fontId="19" fillId="0" borderId="1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0" fontId="19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indent="2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175" fontId="15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10" fontId="19" fillId="0" borderId="11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4" fontId="19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9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19" fillId="0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172" fontId="14" fillId="0" borderId="11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view="pageBreakPreview" zoomScale="60" zoomScaleNormal="70" zoomScalePageLayoutView="0" workbookViewId="0" topLeftCell="A5">
      <pane xSplit="2" ySplit="1" topLeftCell="C165" activePane="bottomRight" state="frozen"/>
      <selection pane="topLeft" activeCell="A5" sqref="A5"/>
      <selection pane="topRight" activeCell="C5" sqref="C5"/>
      <selection pane="bottomLeft" activeCell="A6" sqref="A6"/>
      <selection pane="bottomRight" activeCell="D176" sqref="D176"/>
    </sheetView>
  </sheetViews>
  <sheetFormatPr defaultColWidth="11.50390625" defaultRowHeight="18.75" customHeight="1"/>
  <cols>
    <col min="1" max="1" width="11.00390625" style="30" customWidth="1"/>
    <col min="2" max="2" width="78.125" style="30" customWidth="1"/>
    <col min="3" max="3" width="14.50390625" style="10" customWidth="1"/>
    <col min="4" max="4" width="18.125" style="30" customWidth="1"/>
    <col min="5" max="5" width="20.00390625" style="1" customWidth="1"/>
    <col min="6" max="6" width="22.50390625" style="1" customWidth="1"/>
    <col min="7" max="7" width="17.00390625" style="1" customWidth="1"/>
    <col min="8" max="8" width="11.50390625" style="2" customWidth="1"/>
    <col min="9" max="9" width="65.25390625" style="1" customWidth="1"/>
    <col min="10" max="10" width="18.25390625" style="1" customWidth="1"/>
    <col min="11" max="16384" width="11.50390625" style="1" customWidth="1"/>
  </cols>
  <sheetData>
    <row r="1" spans="1:3" ht="18.75" customHeight="1">
      <c r="A1" s="27" t="s">
        <v>119</v>
      </c>
      <c r="B1" s="28"/>
      <c r="C1" s="29"/>
    </row>
    <row r="2" spans="1:3" ht="18.75" customHeight="1">
      <c r="A2" s="27"/>
      <c r="B2" s="28"/>
      <c r="C2" s="29"/>
    </row>
    <row r="3" spans="1:4" ht="29.25" customHeight="1">
      <c r="A3" s="100" t="s">
        <v>339</v>
      </c>
      <c r="B3" s="100"/>
      <c r="C3" s="100"/>
      <c r="D3" s="100"/>
    </row>
    <row r="4" spans="1:4" ht="18.75" customHeight="1">
      <c r="A4" s="48"/>
      <c r="B4" s="48"/>
      <c r="C4" s="48"/>
      <c r="D4" s="48"/>
    </row>
    <row r="5" spans="1:9" s="6" customFormat="1" ht="112.5">
      <c r="A5" s="55" t="s">
        <v>135</v>
      </c>
      <c r="B5" s="55" t="s">
        <v>35</v>
      </c>
      <c r="C5" s="56" t="s">
        <v>34</v>
      </c>
      <c r="D5" s="56" t="s">
        <v>328</v>
      </c>
      <c r="E5" s="56" t="s">
        <v>327</v>
      </c>
      <c r="F5" s="56" t="s">
        <v>334</v>
      </c>
      <c r="G5" s="56" t="s">
        <v>335</v>
      </c>
      <c r="H5" s="56" t="s">
        <v>336</v>
      </c>
      <c r="I5" s="86" t="s">
        <v>337</v>
      </c>
    </row>
    <row r="6" spans="1:9" s="197" customFormat="1" ht="18.75" customHeight="1">
      <c r="A6" s="57">
        <v>1</v>
      </c>
      <c r="B6" s="57">
        <v>2</v>
      </c>
      <c r="C6" s="57">
        <v>3</v>
      </c>
      <c r="D6" s="170">
        <v>4</v>
      </c>
      <c r="E6" s="229">
        <v>5</v>
      </c>
      <c r="F6" s="58">
        <v>6</v>
      </c>
      <c r="G6" s="57">
        <v>7</v>
      </c>
      <c r="H6" s="59">
        <v>8</v>
      </c>
      <c r="I6" s="59">
        <v>9</v>
      </c>
    </row>
    <row r="7" spans="1:10" s="2" customFormat="1" ht="39">
      <c r="A7" s="55" t="s">
        <v>27</v>
      </c>
      <c r="B7" s="60" t="s">
        <v>118</v>
      </c>
      <c r="C7" s="57" t="s">
        <v>31</v>
      </c>
      <c r="D7" s="144">
        <f>D8+D53+D59+D66+D69+D88</f>
        <v>1471605.7999999998</v>
      </c>
      <c r="E7" s="144">
        <f>E8+E53+E59+E66+E69+E88+0.01</f>
        <v>2125706.43</v>
      </c>
      <c r="F7" s="144">
        <f>F8+F53+F59+F66+F69+F88+0.01</f>
        <v>1798656.2200000002</v>
      </c>
      <c r="G7" s="144">
        <f>G8+G53+G59+G66+G69+G88</f>
        <v>2156428.2</v>
      </c>
      <c r="H7" s="204">
        <f aca="true" t="shared" si="0" ref="H7:H12">G7/F7-1</f>
        <v>0.19891070679420886</v>
      </c>
      <c r="I7" s="86" t="s">
        <v>340</v>
      </c>
      <c r="J7" s="142"/>
    </row>
    <row r="8" spans="1:9" s="4" customFormat="1" ht="19.5">
      <c r="A8" s="62" t="s">
        <v>0</v>
      </c>
      <c r="B8" s="63" t="s">
        <v>32</v>
      </c>
      <c r="C8" s="64" t="s">
        <v>31</v>
      </c>
      <c r="D8" s="171">
        <f>SUM(D9:D11,D52)</f>
        <v>456428.18</v>
      </c>
      <c r="E8" s="171">
        <f>SUM(E9:E11,E52)</f>
        <v>547083.3700000001</v>
      </c>
      <c r="F8" s="171">
        <f>SUM(F9:F11,F52)</f>
        <v>501755.79000000004</v>
      </c>
      <c r="G8" s="171">
        <f>SUM(G9:G11,G52)</f>
        <v>564849.41</v>
      </c>
      <c r="H8" s="205">
        <f t="shared" si="0"/>
        <v>0.12574567400607384</v>
      </c>
      <c r="I8" s="198"/>
    </row>
    <row r="9" spans="1:9" s="2" customFormat="1" ht="18.75">
      <c r="A9" s="50" t="s">
        <v>33</v>
      </c>
      <c r="B9" s="66" t="s">
        <v>128</v>
      </c>
      <c r="C9" s="13" t="s">
        <v>31</v>
      </c>
      <c r="D9" s="172">
        <v>27289.44</v>
      </c>
      <c r="E9" s="180">
        <v>31018.81</v>
      </c>
      <c r="F9" s="67">
        <f>ROUND((D9+E9)/2,2)</f>
        <v>29154.13</v>
      </c>
      <c r="G9" s="67">
        <v>36951.61</v>
      </c>
      <c r="H9" s="203">
        <f t="shared" si="0"/>
        <v>0.26745713214559985</v>
      </c>
      <c r="I9" s="33" t="s">
        <v>353</v>
      </c>
    </row>
    <row r="10" spans="1:9" ht="18.75">
      <c r="A10" s="50" t="s">
        <v>21</v>
      </c>
      <c r="B10" s="66" t="s">
        <v>133</v>
      </c>
      <c r="C10" s="13" t="s">
        <v>31</v>
      </c>
      <c r="D10" s="172">
        <v>95723.56</v>
      </c>
      <c r="E10" s="180">
        <v>97686.35</v>
      </c>
      <c r="F10" s="67">
        <f>ROUND((D10+E10)/2,2)</f>
        <v>96704.96</v>
      </c>
      <c r="G10" s="67">
        <v>108819.49</v>
      </c>
      <c r="H10" s="203">
        <f t="shared" si="0"/>
        <v>0.12527309871179315</v>
      </c>
      <c r="I10" s="217" t="s">
        <v>364</v>
      </c>
    </row>
    <row r="11" spans="1:9" s="2" customFormat="1" ht="37.5">
      <c r="A11" s="50" t="s">
        <v>22</v>
      </c>
      <c r="B11" s="66" t="s">
        <v>126</v>
      </c>
      <c r="C11" s="13" t="s">
        <v>31</v>
      </c>
      <c r="D11" s="172">
        <v>320384.32</v>
      </c>
      <c r="E11" s="180">
        <f>E14+E27</f>
        <v>407014.68000000005</v>
      </c>
      <c r="F11" s="67">
        <f>ROUND((D11+E11)/2,2)</f>
        <v>363699.5</v>
      </c>
      <c r="G11" s="67">
        <v>405259.64</v>
      </c>
      <c r="H11" s="203">
        <f t="shared" si="0"/>
        <v>0.11427054477666321</v>
      </c>
      <c r="I11" s="87" t="s">
        <v>365</v>
      </c>
    </row>
    <row r="12" spans="1:9" s="26" customFormat="1" ht="18.75">
      <c r="A12" s="68"/>
      <c r="B12" s="69" t="s">
        <v>86</v>
      </c>
      <c r="C12" s="70" t="s">
        <v>13</v>
      </c>
      <c r="D12" s="173">
        <v>25610.24</v>
      </c>
      <c r="E12" s="173">
        <v>28435.69</v>
      </c>
      <c r="F12" s="71">
        <f>ROUND((D12+E12)/2,2)</f>
        <v>27022.97</v>
      </c>
      <c r="G12" s="71">
        <v>28933.592</v>
      </c>
      <c r="H12" s="203">
        <f t="shared" si="0"/>
        <v>0.07070362732149715</v>
      </c>
      <c r="I12" s="33"/>
    </row>
    <row r="13" spans="1:9" s="26" customFormat="1" ht="18.75">
      <c r="A13" s="68"/>
      <c r="B13" s="69" t="s">
        <v>84</v>
      </c>
      <c r="C13" s="70" t="s">
        <v>115</v>
      </c>
      <c r="D13" s="174">
        <f>D11/D12</f>
        <v>12.510008496601358</v>
      </c>
      <c r="E13" s="174">
        <f>E11/E12</f>
        <v>14.313515163514586</v>
      </c>
      <c r="F13" s="174">
        <f>F11/F12</f>
        <v>13.458901815751561</v>
      </c>
      <c r="G13" s="174">
        <f>G11/G12</f>
        <v>14.006544365455904</v>
      </c>
      <c r="H13" s="67"/>
      <c r="I13" s="33"/>
    </row>
    <row r="14" spans="1:9" s="26" customFormat="1" ht="34.5" hidden="1">
      <c r="A14" s="68"/>
      <c r="B14" s="91" t="s">
        <v>297</v>
      </c>
      <c r="C14" s="55" t="s">
        <v>31</v>
      </c>
      <c r="D14" s="175"/>
      <c r="E14" s="171">
        <f>E15+E18+E21+E24</f>
        <v>155434.33000000002</v>
      </c>
      <c r="F14" s="67"/>
      <c r="G14" s="67"/>
      <c r="H14" s="67"/>
      <c r="I14" s="33"/>
    </row>
    <row r="15" spans="1:9" s="26" customFormat="1" ht="18" hidden="1">
      <c r="A15" s="68"/>
      <c r="B15" s="109" t="s">
        <v>298</v>
      </c>
      <c r="C15" s="21" t="s">
        <v>31</v>
      </c>
      <c r="D15" s="176"/>
      <c r="E15" s="173">
        <f>ROUND(E16*E17,2)</f>
        <v>109798.49</v>
      </c>
      <c r="F15" s="67"/>
      <c r="G15" s="67"/>
      <c r="H15" s="67"/>
      <c r="I15" s="33"/>
    </row>
    <row r="16" spans="1:9" s="26" customFormat="1" ht="18" hidden="1">
      <c r="A16" s="68"/>
      <c r="B16" s="110" t="s">
        <v>299</v>
      </c>
      <c r="C16" s="75" t="s">
        <v>13</v>
      </c>
      <c r="D16" s="177"/>
      <c r="E16" s="230">
        <v>27587.559103247644</v>
      </c>
      <c r="F16" s="67"/>
      <c r="G16" s="67"/>
      <c r="H16" s="67"/>
      <c r="I16" s="33"/>
    </row>
    <row r="17" spans="1:9" s="26" customFormat="1" ht="18" hidden="1">
      <c r="A17" s="68"/>
      <c r="B17" s="95" t="s">
        <v>84</v>
      </c>
      <c r="C17" s="75" t="s">
        <v>115</v>
      </c>
      <c r="D17" s="177"/>
      <c r="E17" s="230">
        <v>3.98</v>
      </c>
      <c r="F17" s="67"/>
      <c r="G17" s="67"/>
      <c r="H17" s="67"/>
      <c r="I17" s="33"/>
    </row>
    <row r="18" spans="1:9" s="26" customFormat="1" ht="18" hidden="1">
      <c r="A18" s="68"/>
      <c r="B18" s="109" t="s">
        <v>300</v>
      </c>
      <c r="C18" s="21" t="s">
        <v>31</v>
      </c>
      <c r="D18" s="176"/>
      <c r="E18" s="173">
        <f>ROUND(E19*E20,2)</f>
        <v>9354.88</v>
      </c>
      <c r="F18" s="67"/>
      <c r="G18" s="67"/>
      <c r="H18" s="67"/>
      <c r="I18" s="33"/>
    </row>
    <row r="19" spans="1:9" s="26" customFormat="1" ht="18" hidden="1">
      <c r="A19" s="68"/>
      <c r="B19" s="110" t="s">
        <v>301</v>
      </c>
      <c r="C19" s="75" t="s">
        <v>13</v>
      </c>
      <c r="D19" s="177"/>
      <c r="E19" s="230">
        <v>848.1308967523536</v>
      </c>
      <c r="F19" s="67"/>
      <c r="G19" s="67"/>
      <c r="H19" s="67"/>
      <c r="I19" s="33"/>
    </row>
    <row r="20" spans="1:9" s="26" customFormat="1" ht="18" hidden="1">
      <c r="A20" s="68"/>
      <c r="B20" s="95" t="s">
        <v>84</v>
      </c>
      <c r="C20" s="75" t="s">
        <v>115</v>
      </c>
      <c r="D20" s="177"/>
      <c r="E20" s="230">
        <v>11.03</v>
      </c>
      <c r="F20" s="67"/>
      <c r="G20" s="67"/>
      <c r="H20" s="67"/>
      <c r="I20" s="33"/>
    </row>
    <row r="21" spans="1:9" s="26" customFormat="1" ht="18" hidden="1">
      <c r="A21" s="68"/>
      <c r="B21" s="109" t="s">
        <v>302</v>
      </c>
      <c r="C21" s="21" t="s">
        <v>31</v>
      </c>
      <c r="D21" s="176"/>
      <c r="E21" s="173">
        <f>ROUND(E22*E23/1000,2)</f>
        <v>33437.39</v>
      </c>
      <c r="F21" s="67"/>
      <c r="G21" s="67"/>
      <c r="H21" s="67"/>
      <c r="I21" s="33"/>
    </row>
    <row r="22" spans="1:9" s="26" customFormat="1" ht="18" hidden="1">
      <c r="A22" s="68"/>
      <c r="B22" s="110" t="s">
        <v>301</v>
      </c>
      <c r="C22" s="75" t="s">
        <v>315</v>
      </c>
      <c r="D22" s="177"/>
      <c r="E22" s="230">
        <v>47.00012</v>
      </c>
      <c r="F22" s="67"/>
      <c r="G22" s="67"/>
      <c r="H22" s="67"/>
      <c r="I22" s="33"/>
    </row>
    <row r="23" spans="1:9" s="26" customFormat="1" ht="18" hidden="1">
      <c r="A23" s="68"/>
      <c r="B23" s="95" t="s">
        <v>303</v>
      </c>
      <c r="C23" s="75" t="s">
        <v>316</v>
      </c>
      <c r="D23" s="177"/>
      <c r="E23" s="230">
        <v>711432</v>
      </c>
      <c r="F23" s="67"/>
      <c r="G23" s="67"/>
      <c r="H23" s="67"/>
      <c r="I23" s="33"/>
    </row>
    <row r="24" spans="1:9" s="26" customFormat="1" ht="36" hidden="1">
      <c r="A24" s="68"/>
      <c r="B24" s="109" t="s">
        <v>304</v>
      </c>
      <c r="C24" s="21" t="s">
        <v>31</v>
      </c>
      <c r="D24" s="176"/>
      <c r="E24" s="173">
        <f>ROUND(E25*E26,2)</f>
        <v>2843.57</v>
      </c>
      <c r="F24" s="67"/>
      <c r="G24" s="67"/>
      <c r="H24" s="67"/>
      <c r="I24" s="33"/>
    </row>
    <row r="25" spans="1:9" s="26" customFormat="1" ht="18" hidden="1">
      <c r="A25" s="68"/>
      <c r="B25" s="110" t="s">
        <v>301</v>
      </c>
      <c r="C25" s="75" t="s">
        <v>13</v>
      </c>
      <c r="D25" s="177"/>
      <c r="E25" s="230">
        <v>28435.69</v>
      </c>
      <c r="F25" s="67"/>
      <c r="G25" s="67"/>
      <c r="H25" s="67"/>
      <c r="I25" s="33"/>
    </row>
    <row r="26" spans="1:9" s="26" customFormat="1" ht="18" hidden="1">
      <c r="A26" s="68"/>
      <c r="B26" s="95" t="s">
        <v>303</v>
      </c>
      <c r="C26" s="75" t="s">
        <v>115</v>
      </c>
      <c r="D26" s="177"/>
      <c r="E26" s="230">
        <v>0.1</v>
      </c>
      <c r="F26" s="67"/>
      <c r="G26" s="67"/>
      <c r="H26" s="67"/>
      <c r="I26" s="33"/>
    </row>
    <row r="27" spans="1:9" s="26" customFormat="1" ht="18" hidden="1">
      <c r="A27" s="68"/>
      <c r="B27" s="91" t="s">
        <v>305</v>
      </c>
      <c r="C27" s="55" t="s">
        <v>31</v>
      </c>
      <c r="D27" s="175"/>
      <c r="E27" s="192">
        <f>E28+E31+E34+E37+E40+E43+E46+E49</f>
        <v>251580.35</v>
      </c>
      <c r="F27" s="67"/>
      <c r="G27" s="67"/>
      <c r="H27" s="67"/>
      <c r="I27" s="33"/>
    </row>
    <row r="28" spans="1:9" s="26" customFormat="1" ht="18" hidden="1">
      <c r="A28" s="68"/>
      <c r="B28" s="109" t="s">
        <v>306</v>
      </c>
      <c r="C28" s="21" t="s">
        <v>31</v>
      </c>
      <c r="D28" s="176"/>
      <c r="E28" s="230">
        <v>78332.04</v>
      </c>
      <c r="F28" s="67"/>
      <c r="G28" s="67"/>
      <c r="H28" s="67"/>
      <c r="I28" s="33"/>
    </row>
    <row r="29" spans="1:9" s="26" customFormat="1" ht="18" hidden="1">
      <c r="A29" s="68"/>
      <c r="B29" s="110" t="s">
        <v>299</v>
      </c>
      <c r="C29" s="75" t="s">
        <v>13</v>
      </c>
      <c r="D29" s="177"/>
      <c r="E29" s="231">
        <v>28005.734969181216</v>
      </c>
      <c r="F29" s="67"/>
      <c r="G29" s="67"/>
      <c r="H29" s="67"/>
      <c r="I29" s="33"/>
    </row>
    <row r="30" spans="1:9" s="26" customFormat="1" ht="18" hidden="1">
      <c r="A30" s="68"/>
      <c r="B30" s="95" t="s">
        <v>303</v>
      </c>
      <c r="C30" s="75" t="s">
        <v>115</v>
      </c>
      <c r="D30" s="178"/>
      <c r="E30" s="231">
        <v>2.797</v>
      </c>
      <c r="F30" s="67"/>
      <c r="G30" s="67"/>
      <c r="H30" s="67"/>
      <c r="I30" s="33"/>
    </row>
    <row r="31" spans="1:9" s="26" customFormat="1" ht="18" hidden="1">
      <c r="A31" s="68"/>
      <c r="B31" s="109" t="s">
        <v>307</v>
      </c>
      <c r="C31" s="21" t="s">
        <v>31</v>
      </c>
      <c r="D31" s="176"/>
      <c r="E31" s="173">
        <f>ROUND(E32*E33,2)</f>
        <v>160162.4</v>
      </c>
      <c r="F31" s="67"/>
      <c r="G31" s="67"/>
      <c r="H31" s="67"/>
      <c r="I31" s="33"/>
    </row>
    <row r="32" spans="1:9" s="26" customFormat="1" ht="18" hidden="1">
      <c r="A32" s="68"/>
      <c r="B32" s="110" t="s">
        <v>308</v>
      </c>
      <c r="C32" s="75" t="s">
        <v>13</v>
      </c>
      <c r="D32" s="177"/>
      <c r="E32" s="231">
        <v>20854.47883313415</v>
      </c>
      <c r="F32" s="67"/>
      <c r="G32" s="67"/>
      <c r="H32" s="67"/>
      <c r="I32" s="33"/>
    </row>
    <row r="33" spans="1:9" s="26" customFormat="1" ht="18" hidden="1">
      <c r="A33" s="68"/>
      <c r="B33" s="95" t="s">
        <v>303</v>
      </c>
      <c r="C33" s="75" t="s">
        <v>115</v>
      </c>
      <c r="D33" s="177"/>
      <c r="E33" s="231">
        <v>7.68</v>
      </c>
      <c r="F33" s="67"/>
      <c r="G33" s="67"/>
      <c r="H33" s="67"/>
      <c r="I33" s="33"/>
    </row>
    <row r="34" spans="1:9" s="26" customFormat="1" ht="18" hidden="1">
      <c r="A34" s="68"/>
      <c r="B34" s="109" t="s">
        <v>309</v>
      </c>
      <c r="C34" s="21" t="s">
        <v>31</v>
      </c>
      <c r="D34" s="176"/>
      <c r="E34" s="173">
        <f>ROUND(E35*E36,2)</f>
        <v>7497</v>
      </c>
      <c r="F34" s="67"/>
      <c r="G34" s="67"/>
      <c r="H34" s="67"/>
      <c r="I34" s="33"/>
    </row>
    <row r="35" spans="1:9" s="26" customFormat="1" ht="18" hidden="1">
      <c r="A35" s="68"/>
      <c r="B35" s="110" t="s">
        <v>301</v>
      </c>
      <c r="C35" s="75" t="s">
        <v>13</v>
      </c>
      <c r="D35" s="177"/>
      <c r="E35" s="231">
        <v>7728.869565663935</v>
      </c>
      <c r="F35" s="67"/>
      <c r="G35" s="67"/>
      <c r="H35" s="67"/>
      <c r="I35" s="33"/>
    </row>
    <row r="36" spans="1:9" s="26" customFormat="1" ht="18" hidden="1">
      <c r="A36" s="68"/>
      <c r="B36" s="95" t="s">
        <v>303</v>
      </c>
      <c r="C36" s="75" t="s">
        <v>115</v>
      </c>
      <c r="D36" s="177"/>
      <c r="E36" s="231">
        <v>0.97</v>
      </c>
      <c r="F36" s="67"/>
      <c r="G36" s="67"/>
      <c r="H36" s="67"/>
      <c r="I36" s="33"/>
    </row>
    <row r="37" spans="1:9" s="26" customFormat="1" ht="18" hidden="1">
      <c r="A37" s="68"/>
      <c r="B37" s="109" t="s">
        <v>310</v>
      </c>
      <c r="C37" s="21" t="s">
        <v>31</v>
      </c>
      <c r="D37" s="176"/>
      <c r="E37" s="173">
        <f>ROUND(E38*E39,2)</f>
        <v>417.54</v>
      </c>
      <c r="F37" s="67"/>
      <c r="G37" s="67"/>
      <c r="H37" s="67"/>
      <c r="I37" s="33"/>
    </row>
    <row r="38" spans="1:9" s="26" customFormat="1" ht="18" hidden="1">
      <c r="A38" s="68"/>
      <c r="B38" s="110" t="s">
        <v>301</v>
      </c>
      <c r="C38" s="75" t="s">
        <v>13</v>
      </c>
      <c r="D38" s="177"/>
      <c r="E38" s="230">
        <v>189.7903722329833</v>
      </c>
      <c r="F38" s="67"/>
      <c r="G38" s="67"/>
      <c r="H38" s="67"/>
      <c r="I38" s="33"/>
    </row>
    <row r="39" spans="1:9" s="26" customFormat="1" ht="18" hidden="1">
      <c r="A39" s="68"/>
      <c r="B39" s="95" t="s">
        <v>303</v>
      </c>
      <c r="C39" s="75" t="s">
        <v>115</v>
      </c>
      <c r="D39" s="177"/>
      <c r="E39" s="231">
        <v>2.2</v>
      </c>
      <c r="F39" s="67"/>
      <c r="G39" s="67"/>
      <c r="H39" s="67"/>
      <c r="I39" s="33"/>
    </row>
    <row r="40" spans="1:9" s="26" customFormat="1" ht="18" hidden="1">
      <c r="A40" s="68"/>
      <c r="B40" s="109" t="s">
        <v>311</v>
      </c>
      <c r="C40" s="21" t="s">
        <v>31</v>
      </c>
      <c r="D40" s="176"/>
      <c r="E40" s="173">
        <f>ROUND(E41*E42,0)</f>
        <v>15</v>
      </c>
      <c r="F40" s="67"/>
      <c r="G40" s="67"/>
      <c r="H40" s="67"/>
      <c r="I40" s="33"/>
    </row>
    <row r="41" spans="1:9" s="26" customFormat="1" ht="18" hidden="1">
      <c r="A41" s="68"/>
      <c r="B41" s="110" t="s">
        <v>86</v>
      </c>
      <c r="C41" s="75" t="s">
        <v>13</v>
      </c>
      <c r="D41" s="177"/>
      <c r="E41" s="231">
        <v>47.96467667919445</v>
      </c>
      <c r="F41" s="67"/>
      <c r="G41" s="67"/>
      <c r="H41" s="67"/>
      <c r="I41" s="33"/>
    </row>
    <row r="42" spans="1:9" s="26" customFormat="1" ht="18" hidden="1">
      <c r="A42" s="68"/>
      <c r="B42" s="95" t="s">
        <v>303</v>
      </c>
      <c r="C42" s="75" t="s">
        <v>115</v>
      </c>
      <c r="D42" s="177"/>
      <c r="E42" s="231">
        <v>0.32</v>
      </c>
      <c r="F42" s="67"/>
      <c r="G42" s="67"/>
      <c r="H42" s="67"/>
      <c r="I42" s="33"/>
    </row>
    <row r="43" spans="1:9" s="26" customFormat="1" ht="18" hidden="1">
      <c r="A43" s="68"/>
      <c r="B43" s="109" t="s">
        <v>312</v>
      </c>
      <c r="C43" s="21" t="s">
        <v>31</v>
      </c>
      <c r="D43" s="176"/>
      <c r="E43" s="231">
        <v>0</v>
      </c>
      <c r="F43" s="67"/>
      <c r="G43" s="67"/>
      <c r="H43" s="67"/>
      <c r="I43" s="33"/>
    </row>
    <row r="44" spans="1:9" s="26" customFormat="1" ht="18" hidden="1">
      <c r="A44" s="68"/>
      <c r="B44" s="110" t="s">
        <v>86</v>
      </c>
      <c r="C44" s="75" t="s">
        <v>13</v>
      </c>
      <c r="D44" s="177"/>
      <c r="E44" s="231">
        <v>0</v>
      </c>
      <c r="F44" s="67"/>
      <c r="G44" s="67"/>
      <c r="H44" s="67"/>
      <c r="I44" s="33"/>
    </row>
    <row r="45" spans="1:9" s="26" customFormat="1" ht="18" hidden="1">
      <c r="A45" s="68"/>
      <c r="B45" s="95" t="s">
        <v>303</v>
      </c>
      <c r="C45" s="75" t="s">
        <v>115</v>
      </c>
      <c r="D45" s="177"/>
      <c r="E45" s="231">
        <v>1.69</v>
      </c>
      <c r="F45" s="67"/>
      <c r="G45" s="67"/>
      <c r="H45" s="67"/>
      <c r="I45" s="33"/>
    </row>
    <row r="46" spans="1:9" s="26" customFormat="1" ht="18" hidden="1">
      <c r="A46" s="68"/>
      <c r="B46" s="109" t="s">
        <v>313</v>
      </c>
      <c r="C46" s="21" t="s">
        <v>31</v>
      </c>
      <c r="D46" s="176"/>
      <c r="E46" s="173">
        <f>ROUND(E47*E48,2)</f>
        <v>5148.18</v>
      </c>
      <c r="F46" s="67"/>
      <c r="G46" s="67"/>
      <c r="H46" s="67"/>
      <c r="I46" s="33"/>
    </row>
    <row r="47" spans="1:9" s="26" customFormat="1" ht="18" hidden="1">
      <c r="A47" s="68"/>
      <c r="B47" s="110" t="s">
        <v>86</v>
      </c>
      <c r="C47" s="75" t="s">
        <v>13</v>
      </c>
      <c r="D47" s="177"/>
      <c r="E47" s="231">
        <v>8876.164362152324</v>
      </c>
      <c r="F47" s="67"/>
      <c r="G47" s="67"/>
      <c r="H47" s="67"/>
      <c r="I47" s="33"/>
    </row>
    <row r="48" spans="1:9" s="26" customFormat="1" ht="18" hidden="1">
      <c r="A48" s="68"/>
      <c r="B48" s="95" t="s">
        <v>303</v>
      </c>
      <c r="C48" s="75" t="s">
        <v>115</v>
      </c>
      <c r="D48" s="177"/>
      <c r="E48" s="231">
        <v>0.58</v>
      </c>
      <c r="F48" s="67"/>
      <c r="G48" s="67"/>
      <c r="H48" s="67"/>
      <c r="I48" s="33"/>
    </row>
    <row r="49" spans="1:9" s="26" customFormat="1" ht="36" hidden="1">
      <c r="A49" s="68"/>
      <c r="B49" s="109" t="s">
        <v>314</v>
      </c>
      <c r="C49" s="21" t="s">
        <v>31</v>
      </c>
      <c r="D49" s="176"/>
      <c r="E49" s="173">
        <f>ROUND(E50*E51,2)</f>
        <v>8.19</v>
      </c>
      <c r="F49" s="67"/>
      <c r="G49" s="67"/>
      <c r="H49" s="67"/>
      <c r="I49" s="33"/>
    </row>
    <row r="50" spans="1:9" s="26" customFormat="1" ht="18" hidden="1">
      <c r="A50" s="68"/>
      <c r="B50" s="110" t="s">
        <v>86</v>
      </c>
      <c r="C50" s="75" t="s">
        <v>13</v>
      </c>
      <c r="D50" s="177"/>
      <c r="E50" s="231">
        <v>3.7747104329249614</v>
      </c>
      <c r="F50" s="67"/>
      <c r="G50" s="67"/>
      <c r="H50" s="67"/>
      <c r="I50" s="33"/>
    </row>
    <row r="51" spans="1:9" s="26" customFormat="1" ht="18" hidden="1">
      <c r="A51" s="68"/>
      <c r="B51" s="95" t="s">
        <v>303</v>
      </c>
      <c r="C51" s="75" t="s">
        <v>115</v>
      </c>
      <c r="D51" s="177"/>
      <c r="E51" s="231">
        <v>2.17</v>
      </c>
      <c r="F51" s="67"/>
      <c r="G51" s="67"/>
      <c r="H51" s="67"/>
      <c r="I51" s="33"/>
    </row>
    <row r="52" spans="1:9" ht="18.75">
      <c r="A52" s="50" t="s">
        <v>54</v>
      </c>
      <c r="B52" s="66" t="s">
        <v>127</v>
      </c>
      <c r="C52" s="13" t="s">
        <v>31</v>
      </c>
      <c r="D52" s="172">
        <v>13030.86</v>
      </c>
      <c r="E52" s="180">
        <v>11363.53</v>
      </c>
      <c r="F52" s="67">
        <f>ROUND((D52+E52)/2,2)</f>
        <v>12197.2</v>
      </c>
      <c r="G52" s="67">
        <v>13818.67</v>
      </c>
      <c r="H52" s="203">
        <f aca="true" t="shared" si="1" ref="H52:H59">G52/F52-1</f>
        <v>0.1329378873839897</v>
      </c>
      <c r="I52" s="217" t="s">
        <v>341</v>
      </c>
    </row>
    <row r="53" spans="1:9" s="4" customFormat="1" ht="41.25" customHeight="1">
      <c r="A53" s="73" t="s">
        <v>28</v>
      </c>
      <c r="B53" s="63" t="s">
        <v>55</v>
      </c>
      <c r="C53" s="64" t="s">
        <v>31</v>
      </c>
      <c r="D53" s="171">
        <f>SUM(D54:D55)</f>
        <v>617697.5499999999</v>
      </c>
      <c r="E53" s="171">
        <f>SUM(E54:E55)</f>
        <v>764391.6</v>
      </c>
      <c r="F53" s="171">
        <f>SUM(F54:F55)</f>
        <v>691044.5800000001</v>
      </c>
      <c r="G53" s="171">
        <f>SUM(G54:G55)</f>
        <v>759330.53</v>
      </c>
      <c r="H53" s="205">
        <f t="shared" si="1"/>
        <v>0.09881554964225314</v>
      </c>
      <c r="I53" s="217" t="s">
        <v>342</v>
      </c>
    </row>
    <row r="54" spans="1:9" s="2" customFormat="1" ht="18.75">
      <c r="A54" s="74" t="s">
        <v>56</v>
      </c>
      <c r="B54" s="66" t="s">
        <v>132</v>
      </c>
      <c r="C54" s="13" t="s">
        <v>31</v>
      </c>
      <c r="D54" s="172">
        <v>564107.35</v>
      </c>
      <c r="E54" s="180">
        <v>687000.97</v>
      </c>
      <c r="F54" s="67">
        <f>ROUND((D54+E54)/2,2)</f>
        <v>625554.16</v>
      </c>
      <c r="G54" s="67">
        <v>684880.05</v>
      </c>
      <c r="H54" s="203">
        <f t="shared" si="1"/>
        <v>0.09483733590709398</v>
      </c>
      <c r="I54" s="87"/>
    </row>
    <row r="55" spans="1:9" s="2" customFormat="1" ht="18.75">
      <c r="A55" s="75" t="s">
        <v>57</v>
      </c>
      <c r="B55" s="66" t="s">
        <v>216</v>
      </c>
      <c r="C55" s="13" t="s">
        <v>31</v>
      </c>
      <c r="D55" s="172">
        <v>53590.2</v>
      </c>
      <c r="E55" s="180">
        <v>77390.63</v>
      </c>
      <c r="F55" s="67">
        <f>ROUND((D55+E55)/2,2)</f>
        <v>65490.42</v>
      </c>
      <c r="G55" s="67">
        <f>SUM(G56:G58)</f>
        <v>74450.48</v>
      </c>
      <c r="H55" s="203">
        <f t="shared" si="1"/>
        <v>0.13681481963316156</v>
      </c>
      <c r="I55" s="33"/>
    </row>
    <row r="56" spans="1:9" s="2" customFormat="1" ht="18" hidden="1">
      <c r="A56" s="75"/>
      <c r="B56" s="66" t="s">
        <v>218</v>
      </c>
      <c r="C56" s="13" t="s">
        <v>31</v>
      </c>
      <c r="D56" s="172"/>
      <c r="E56" s="180">
        <v>35938.6</v>
      </c>
      <c r="F56" s="67"/>
      <c r="G56" s="67">
        <v>35727.1</v>
      </c>
      <c r="H56" s="203"/>
      <c r="I56" s="33"/>
    </row>
    <row r="57" spans="1:9" s="2" customFormat="1" ht="18" hidden="1">
      <c r="A57" s="75"/>
      <c r="B57" s="66" t="s">
        <v>217</v>
      </c>
      <c r="C57" s="13" t="s">
        <v>31</v>
      </c>
      <c r="D57" s="172"/>
      <c r="E57" s="180">
        <v>20842</v>
      </c>
      <c r="F57" s="67"/>
      <c r="G57" s="67">
        <v>19830.82</v>
      </c>
      <c r="H57" s="203"/>
      <c r="I57" s="33"/>
    </row>
    <row r="58" spans="1:9" s="2" customFormat="1" ht="18" hidden="1">
      <c r="A58" s="75"/>
      <c r="B58" s="66" t="s">
        <v>208</v>
      </c>
      <c r="C58" s="13" t="s">
        <v>31</v>
      </c>
      <c r="D58" s="172"/>
      <c r="E58" s="180">
        <v>20610.03</v>
      </c>
      <c r="F58" s="67"/>
      <c r="G58" s="67">
        <v>18892.56</v>
      </c>
      <c r="H58" s="203"/>
      <c r="I58" s="33"/>
    </row>
    <row r="59" spans="1:9" s="4" customFormat="1" ht="19.5">
      <c r="A59" s="73" t="s">
        <v>29</v>
      </c>
      <c r="B59" s="63" t="s">
        <v>221</v>
      </c>
      <c r="C59" s="64" t="s">
        <v>31</v>
      </c>
      <c r="D59" s="171">
        <f>SUM(D60:D65)</f>
        <v>55268.68</v>
      </c>
      <c r="E59" s="171">
        <f>SUM(E63:E65)</f>
        <v>542816.38</v>
      </c>
      <c r="F59" s="171">
        <f>SUM(F63:F65)</f>
        <v>299042.53</v>
      </c>
      <c r="G59" s="171">
        <f>SUM(G63:G65)</f>
        <v>358402.33</v>
      </c>
      <c r="H59" s="205">
        <f t="shared" si="1"/>
        <v>0.19849952446563357</v>
      </c>
      <c r="I59" s="198"/>
    </row>
    <row r="60" spans="1:9" ht="18" hidden="1">
      <c r="A60" s="105"/>
      <c r="B60" s="106" t="s">
        <v>210</v>
      </c>
      <c r="C60" s="107" t="s">
        <v>31</v>
      </c>
      <c r="D60" s="179"/>
      <c r="E60" s="232"/>
      <c r="F60" s="67"/>
      <c r="G60" s="67"/>
      <c r="H60" s="67"/>
      <c r="I60" s="199"/>
    </row>
    <row r="61" spans="1:9" ht="18" hidden="1">
      <c r="A61" s="105"/>
      <c r="B61" s="108" t="s">
        <v>219</v>
      </c>
      <c r="C61" s="107"/>
      <c r="D61" s="179"/>
      <c r="E61" s="232"/>
      <c r="F61" s="67"/>
      <c r="G61" s="67"/>
      <c r="H61" s="67"/>
      <c r="I61" s="199"/>
    </row>
    <row r="62" spans="1:9" ht="18.75">
      <c r="A62" s="50"/>
      <c r="B62" s="77" t="s">
        <v>93</v>
      </c>
      <c r="C62" s="13"/>
      <c r="D62" s="172"/>
      <c r="E62" s="232"/>
      <c r="F62" s="67"/>
      <c r="G62" s="67"/>
      <c r="H62" s="67"/>
      <c r="I62" s="199"/>
    </row>
    <row r="63" spans="1:9" ht="18.75">
      <c r="A63" s="50" t="s">
        <v>58</v>
      </c>
      <c r="B63" s="77" t="s">
        <v>220</v>
      </c>
      <c r="C63" s="13"/>
      <c r="D63" s="172"/>
      <c r="E63" s="180">
        <v>397380.14</v>
      </c>
      <c r="F63" s="67">
        <f>ROUND((D63+E63)/2,2)</f>
        <v>198690.07</v>
      </c>
      <c r="G63" s="67">
        <f>258118.2-G113-G114-G138-G155-G156</f>
        <v>245978.84</v>
      </c>
      <c r="H63" s="203">
        <f aca="true" t="shared" si="2" ref="H63:H125">G63/F63-1</f>
        <v>0.2380026842811016</v>
      </c>
      <c r="I63" s="199" t="s">
        <v>343</v>
      </c>
    </row>
    <row r="64" spans="1:9" ht="18.75">
      <c r="A64" s="50" t="s">
        <v>59</v>
      </c>
      <c r="B64" s="66" t="s">
        <v>211</v>
      </c>
      <c r="C64" s="13"/>
      <c r="D64" s="172">
        <v>55268.68</v>
      </c>
      <c r="E64" s="180">
        <v>124341.56</v>
      </c>
      <c r="F64" s="67">
        <f>ROUND((D64+E64)/2,2)</f>
        <v>89805.12</v>
      </c>
      <c r="G64" s="67">
        <v>91328.79</v>
      </c>
      <c r="H64" s="203">
        <f t="shared" si="2"/>
        <v>0.016966404588067974</v>
      </c>
      <c r="I64" s="199" t="s">
        <v>369</v>
      </c>
    </row>
    <row r="65" spans="1:9" ht="18.75">
      <c r="A65" s="50" t="s">
        <v>222</v>
      </c>
      <c r="B65" s="66" t="s">
        <v>223</v>
      </c>
      <c r="C65" s="13"/>
      <c r="D65" s="172"/>
      <c r="E65" s="180">
        <v>21094.68</v>
      </c>
      <c r="F65" s="67">
        <f>ROUND((D65+E65)/2,2)</f>
        <v>10547.34</v>
      </c>
      <c r="G65" s="67">
        <v>21094.7</v>
      </c>
      <c r="H65" s="203">
        <f t="shared" si="2"/>
        <v>1.0000018962126944</v>
      </c>
      <c r="I65" s="199"/>
    </row>
    <row r="66" spans="1:9" s="3" customFormat="1" ht="39">
      <c r="A66" s="73" t="s">
        <v>30</v>
      </c>
      <c r="B66" s="76" t="s">
        <v>137</v>
      </c>
      <c r="C66" s="64" t="s">
        <v>31</v>
      </c>
      <c r="D66" s="171">
        <f>D67+D68-0.01</f>
        <v>152174.88999999998</v>
      </c>
      <c r="E66" s="171">
        <f>E67+E68</f>
        <v>53898.759999999995</v>
      </c>
      <c r="F66" s="171">
        <f>F67+F68</f>
        <v>103036.84</v>
      </c>
      <c r="G66" s="171">
        <f>G67+G68</f>
        <v>220032.93</v>
      </c>
      <c r="H66" s="205">
        <f t="shared" si="2"/>
        <v>1.1354782425392704</v>
      </c>
      <c r="I66" s="87" t="s">
        <v>366</v>
      </c>
    </row>
    <row r="67" spans="1:9" s="2" customFormat="1" ht="18.75">
      <c r="A67" s="50" t="s">
        <v>60</v>
      </c>
      <c r="B67" s="66" t="s">
        <v>117</v>
      </c>
      <c r="C67" s="13" t="s">
        <v>31</v>
      </c>
      <c r="D67" s="172">
        <v>130281.99</v>
      </c>
      <c r="E67" s="180">
        <v>19158.8</v>
      </c>
      <c r="F67" s="67">
        <f>ROUND((D67+E67)/2,2)</f>
        <v>74720.4</v>
      </c>
      <c r="G67" s="67">
        <v>184556.34</v>
      </c>
      <c r="H67" s="203">
        <f t="shared" si="2"/>
        <v>1.4699592079271526</v>
      </c>
      <c r="I67" s="87"/>
    </row>
    <row r="68" spans="1:9" s="2" customFormat="1" ht="18.75">
      <c r="A68" s="75" t="s">
        <v>61</v>
      </c>
      <c r="B68" s="77" t="s">
        <v>116</v>
      </c>
      <c r="C68" s="13" t="s">
        <v>31</v>
      </c>
      <c r="D68" s="172">
        <v>21892.91</v>
      </c>
      <c r="E68" s="180">
        <v>34739.96</v>
      </c>
      <c r="F68" s="67">
        <f>ROUND((D68+E68)/2,2)</f>
        <v>28316.44</v>
      </c>
      <c r="G68" s="67">
        <v>35476.59</v>
      </c>
      <c r="H68" s="203">
        <f t="shared" si="2"/>
        <v>0.25286194168475973</v>
      </c>
      <c r="I68" s="33"/>
    </row>
    <row r="69" spans="1:9" s="3" customFormat="1" ht="39">
      <c r="A69" s="62" t="s">
        <v>1</v>
      </c>
      <c r="B69" s="76" t="s">
        <v>3</v>
      </c>
      <c r="C69" s="64" t="s">
        <v>31</v>
      </c>
      <c r="D69" s="144">
        <f>SUM(D70:D87)</f>
        <v>21391.329999999994</v>
      </c>
      <c r="E69" s="144">
        <f>SUM(E70:E85)-0.01</f>
        <v>28758.110000000004</v>
      </c>
      <c r="F69" s="144">
        <f>SUM(F70:F87)</f>
        <v>25074.749999999996</v>
      </c>
      <c r="G69" s="144">
        <f>SUM(G70:G87)</f>
        <v>32280.77</v>
      </c>
      <c r="H69" s="205">
        <f t="shared" si="2"/>
        <v>0.2873815292276096</v>
      </c>
      <c r="I69" s="200"/>
    </row>
    <row r="70" spans="1:9" s="3" customFormat="1" ht="18.75">
      <c r="A70" s="92" t="s">
        <v>95</v>
      </c>
      <c r="B70" s="77" t="s">
        <v>159</v>
      </c>
      <c r="C70" s="93" t="s">
        <v>31</v>
      </c>
      <c r="D70" s="180">
        <v>999.07</v>
      </c>
      <c r="E70" s="180">
        <v>2456.61</v>
      </c>
      <c r="F70" s="67">
        <f aca="true" t="shared" si="3" ref="F70:F99">ROUND((D70+E70)/2,2)</f>
        <v>1727.84</v>
      </c>
      <c r="G70" s="67">
        <v>2958.74</v>
      </c>
      <c r="H70" s="203">
        <f t="shared" si="2"/>
        <v>0.7123923511436243</v>
      </c>
      <c r="I70" s="33" t="s">
        <v>344</v>
      </c>
    </row>
    <row r="71" spans="1:9" s="3" customFormat="1" ht="19.5">
      <c r="A71" s="92"/>
      <c r="B71" s="77" t="s">
        <v>329</v>
      </c>
      <c r="C71" s="93" t="s">
        <v>31</v>
      </c>
      <c r="D71" s="180">
        <v>125.65</v>
      </c>
      <c r="E71" s="180"/>
      <c r="F71" s="67">
        <f t="shared" si="3"/>
        <v>62.83</v>
      </c>
      <c r="G71" s="67">
        <v>59.86</v>
      </c>
      <c r="H71" s="203">
        <f t="shared" si="2"/>
        <v>-0.04727041222346007</v>
      </c>
      <c r="I71" s="200"/>
    </row>
    <row r="72" spans="1:9" s="3" customFormat="1" ht="18.75">
      <c r="A72" s="92" t="s">
        <v>96</v>
      </c>
      <c r="B72" s="77" t="s">
        <v>140</v>
      </c>
      <c r="C72" s="93" t="s">
        <v>31</v>
      </c>
      <c r="D72" s="180">
        <v>122.74</v>
      </c>
      <c r="E72" s="180">
        <v>98.35</v>
      </c>
      <c r="F72" s="67">
        <f t="shared" si="3"/>
        <v>110.55</v>
      </c>
      <c r="G72" s="67">
        <v>136.51</v>
      </c>
      <c r="H72" s="203">
        <f t="shared" si="2"/>
        <v>0.23482587064676608</v>
      </c>
      <c r="I72" s="33" t="s">
        <v>344</v>
      </c>
    </row>
    <row r="73" spans="1:9" s="3" customFormat="1" ht="37.5">
      <c r="A73" s="92" t="s">
        <v>97</v>
      </c>
      <c r="B73" s="77" t="s">
        <v>139</v>
      </c>
      <c r="C73" s="93" t="s">
        <v>31</v>
      </c>
      <c r="D73" s="180">
        <v>696.35</v>
      </c>
      <c r="E73" s="180">
        <v>677.55</v>
      </c>
      <c r="F73" s="67">
        <f t="shared" si="3"/>
        <v>686.95</v>
      </c>
      <c r="G73" s="67">
        <v>774.99</v>
      </c>
      <c r="H73" s="203">
        <f t="shared" si="2"/>
        <v>0.12816071038649102</v>
      </c>
      <c r="I73" s="87" t="s">
        <v>346</v>
      </c>
    </row>
    <row r="74" spans="1:9" s="3" customFormat="1" ht="18.75">
      <c r="A74" s="92" t="s">
        <v>98</v>
      </c>
      <c r="B74" s="77" t="s">
        <v>142</v>
      </c>
      <c r="C74" s="93" t="s">
        <v>31</v>
      </c>
      <c r="D74" s="180">
        <v>5982.14</v>
      </c>
      <c r="E74" s="180">
        <v>6541</v>
      </c>
      <c r="F74" s="67">
        <f t="shared" si="3"/>
        <v>6261.57</v>
      </c>
      <c r="G74" s="67">
        <v>7510.71</v>
      </c>
      <c r="H74" s="203">
        <f t="shared" si="2"/>
        <v>0.19949309837628593</v>
      </c>
      <c r="I74" s="87" t="s">
        <v>345</v>
      </c>
    </row>
    <row r="75" spans="1:9" s="3" customFormat="1" ht="37.5">
      <c r="A75" s="92" t="s">
        <v>99</v>
      </c>
      <c r="B75" s="77" t="s">
        <v>141</v>
      </c>
      <c r="C75" s="93" t="s">
        <v>31</v>
      </c>
      <c r="D75" s="180">
        <v>6711.48</v>
      </c>
      <c r="E75" s="180">
        <v>7451.27</v>
      </c>
      <c r="F75" s="67">
        <f t="shared" si="3"/>
        <v>7081.38</v>
      </c>
      <c r="G75" s="67">
        <v>9808.24</v>
      </c>
      <c r="H75" s="203">
        <f t="shared" si="2"/>
        <v>0.38507466058875517</v>
      </c>
      <c r="I75" s="33" t="s">
        <v>344</v>
      </c>
    </row>
    <row r="76" spans="1:9" s="3" customFormat="1" ht="18.75">
      <c r="A76" s="92" t="s">
        <v>100</v>
      </c>
      <c r="B76" s="77" t="s">
        <v>143</v>
      </c>
      <c r="C76" s="93" t="s">
        <v>31</v>
      </c>
      <c r="D76" s="180">
        <v>934.08</v>
      </c>
      <c r="E76" s="180">
        <v>933.8</v>
      </c>
      <c r="F76" s="67">
        <f t="shared" si="3"/>
        <v>933.94</v>
      </c>
      <c r="G76" s="67">
        <v>1083.56</v>
      </c>
      <c r="H76" s="203">
        <f t="shared" si="2"/>
        <v>0.16020301090005762</v>
      </c>
      <c r="I76" s="33" t="s">
        <v>344</v>
      </c>
    </row>
    <row r="77" spans="1:9" s="3" customFormat="1" ht="25.5" customHeight="1">
      <c r="A77" s="92" t="s">
        <v>101</v>
      </c>
      <c r="B77" s="77" t="s">
        <v>203</v>
      </c>
      <c r="C77" s="93" t="s">
        <v>31</v>
      </c>
      <c r="D77" s="180">
        <v>143.49</v>
      </c>
      <c r="E77" s="180">
        <v>51.72</v>
      </c>
      <c r="F77" s="67">
        <f t="shared" si="3"/>
        <v>97.61</v>
      </c>
      <c r="G77" s="67">
        <v>370.5</v>
      </c>
      <c r="H77" s="203">
        <f t="shared" si="2"/>
        <v>2.7957176518799303</v>
      </c>
      <c r="I77" s="87" t="s">
        <v>347</v>
      </c>
    </row>
    <row r="78" spans="1:9" s="3" customFormat="1" ht="37.5">
      <c r="A78" s="92" t="s">
        <v>102</v>
      </c>
      <c r="B78" s="77" t="s">
        <v>87</v>
      </c>
      <c r="C78" s="93" t="s">
        <v>31</v>
      </c>
      <c r="D78" s="180">
        <v>462.03</v>
      </c>
      <c r="E78" s="180">
        <v>185.09</v>
      </c>
      <c r="F78" s="67">
        <f t="shared" si="3"/>
        <v>323.56</v>
      </c>
      <c r="G78" s="67">
        <v>931.86</v>
      </c>
      <c r="H78" s="203">
        <f t="shared" si="2"/>
        <v>1.8800222524415875</v>
      </c>
      <c r="I78" s="33" t="s">
        <v>344</v>
      </c>
    </row>
    <row r="79" spans="1:9" s="3" customFormat="1" ht="37.5">
      <c r="A79" s="92" t="s">
        <v>103</v>
      </c>
      <c r="B79" s="77" t="s">
        <v>224</v>
      </c>
      <c r="C79" s="93" t="s">
        <v>31</v>
      </c>
      <c r="D79" s="180">
        <v>1450</v>
      </c>
      <c r="E79" s="180">
        <v>0</v>
      </c>
      <c r="F79" s="67">
        <f t="shared" si="3"/>
        <v>725</v>
      </c>
      <c r="G79" s="67">
        <v>1900</v>
      </c>
      <c r="H79" s="203">
        <f t="shared" si="2"/>
        <v>1.6206896551724137</v>
      </c>
      <c r="I79" s="240" t="s">
        <v>348</v>
      </c>
    </row>
    <row r="80" spans="1:9" s="3" customFormat="1" ht="18.75">
      <c r="A80" s="92" t="s">
        <v>104</v>
      </c>
      <c r="B80" s="77" t="s">
        <v>296</v>
      </c>
      <c r="C80" s="93" t="s">
        <v>31</v>
      </c>
      <c r="D80" s="180">
        <v>1450</v>
      </c>
      <c r="E80" s="180">
        <v>9500</v>
      </c>
      <c r="F80" s="67">
        <f t="shared" si="3"/>
        <v>5475</v>
      </c>
      <c r="G80" s="67">
        <v>5929.2</v>
      </c>
      <c r="H80" s="203">
        <f t="shared" si="2"/>
        <v>0.08295890410958906</v>
      </c>
      <c r="I80" s="241"/>
    </row>
    <row r="81" spans="1:9" s="3" customFormat="1" ht="37.5">
      <c r="A81" s="92" t="s">
        <v>104</v>
      </c>
      <c r="B81" s="77" t="s">
        <v>144</v>
      </c>
      <c r="C81" s="93" t="s">
        <v>31</v>
      </c>
      <c r="D81" s="180">
        <v>276.37</v>
      </c>
      <c r="E81" s="180">
        <v>253.83</v>
      </c>
      <c r="F81" s="67">
        <f t="shared" si="3"/>
        <v>265.1</v>
      </c>
      <c r="G81" s="67">
        <v>108.94</v>
      </c>
      <c r="H81" s="203">
        <f t="shared" si="2"/>
        <v>-0.5890607317993211</v>
      </c>
      <c r="I81" s="87" t="s">
        <v>349</v>
      </c>
    </row>
    <row r="82" spans="1:9" s="3" customFormat="1" ht="37.5">
      <c r="A82" s="92" t="s">
        <v>105</v>
      </c>
      <c r="B82" s="77" t="s">
        <v>225</v>
      </c>
      <c r="C82" s="93" t="s">
        <v>31</v>
      </c>
      <c r="D82" s="180"/>
      <c r="E82" s="180">
        <v>582.27</v>
      </c>
      <c r="F82" s="67">
        <f t="shared" si="3"/>
        <v>291.14</v>
      </c>
      <c r="G82" s="67"/>
      <c r="H82" s="203">
        <f t="shared" si="2"/>
        <v>-1</v>
      </c>
      <c r="I82" s="87" t="s">
        <v>349</v>
      </c>
    </row>
    <row r="83" spans="1:9" s="3" customFormat="1" ht="37.5">
      <c r="A83" s="92" t="s">
        <v>106</v>
      </c>
      <c r="B83" s="77" t="s">
        <v>226</v>
      </c>
      <c r="C83" s="93" t="s">
        <v>31</v>
      </c>
      <c r="D83" s="180">
        <v>778.34</v>
      </c>
      <c r="E83" s="180">
        <v>0</v>
      </c>
      <c r="F83" s="67">
        <f t="shared" si="3"/>
        <v>389.17</v>
      </c>
      <c r="G83" s="67">
        <v>607.23</v>
      </c>
      <c r="H83" s="203">
        <f t="shared" si="2"/>
        <v>0.5603206824780944</v>
      </c>
      <c r="I83" s="87" t="s">
        <v>370</v>
      </c>
    </row>
    <row r="84" spans="1:9" s="3" customFormat="1" ht="18.75">
      <c r="A84" s="92" t="s">
        <v>107</v>
      </c>
      <c r="B84" s="77" t="s">
        <v>205</v>
      </c>
      <c r="C84" s="93" t="s">
        <v>31</v>
      </c>
      <c r="D84" s="180">
        <v>15.51</v>
      </c>
      <c r="E84" s="180">
        <v>26.63</v>
      </c>
      <c r="F84" s="67">
        <f t="shared" si="3"/>
        <v>21.07</v>
      </c>
      <c r="G84" s="67">
        <v>73.62</v>
      </c>
      <c r="H84" s="203">
        <f t="shared" si="2"/>
        <v>2.4940673943996203</v>
      </c>
      <c r="I84" s="33" t="s">
        <v>344</v>
      </c>
    </row>
    <row r="85" spans="1:9" s="3" customFormat="1" ht="18" hidden="1">
      <c r="A85" s="92" t="s">
        <v>108</v>
      </c>
      <c r="B85" s="77" t="s">
        <v>201</v>
      </c>
      <c r="C85" s="93" t="s">
        <v>31</v>
      </c>
      <c r="D85" s="180"/>
      <c r="E85" s="180">
        <v>0</v>
      </c>
      <c r="F85" s="67">
        <f t="shared" si="3"/>
        <v>0</v>
      </c>
      <c r="G85" s="67"/>
      <c r="H85" s="65"/>
      <c r="I85" s="33"/>
    </row>
    <row r="86" spans="1:9" s="3" customFormat="1" ht="37.5">
      <c r="A86" s="92" t="s">
        <v>109</v>
      </c>
      <c r="B86" s="77" t="s">
        <v>227</v>
      </c>
      <c r="C86" s="93" t="s">
        <v>31</v>
      </c>
      <c r="D86" s="180">
        <v>591.3</v>
      </c>
      <c r="E86" s="180">
        <v>0</v>
      </c>
      <c r="F86" s="67">
        <f t="shared" si="3"/>
        <v>295.65</v>
      </c>
      <c r="G86" s="67">
        <v>26.81</v>
      </c>
      <c r="H86" s="203">
        <f t="shared" si="2"/>
        <v>-0.9093184508709623</v>
      </c>
      <c r="I86" s="87" t="s">
        <v>349</v>
      </c>
    </row>
    <row r="87" spans="1:9" s="3" customFormat="1" ht="37.5">
      <c r="A87" s="92" t="s">
        <v>109</v>
      </c>
      <c r="B87" s="77" t="s">
        <v>330</v>
      </c>
      <c r="C87" s="93" t="s">
        <v>31</v>
      </c>
      <c r="D87" s="180">
        <v>652.78</v>
      </c>
      <c r="E87" s="180"/>
      <c r="F87" s="67">
        <f t="shared" si="3"/>
        <v>326.39</v>
      </c>
      <c r="G87" s="67"/>
      <c r="H87" s="203">
        <f t="shared" si="2"/>
        <v>-1</v>
      </c>
      <c r="I87" s="87" t="s">
        <v>349</v>
      </c>
    </row>
    <row r="88" spans="1:9" s="4" customFormat="1" ht="19.5">
      <c r="A88" s="73" t="s">
        <v>4</v>
      </c>
      <c r="B88" s="63" t="s">
        <v>5</v>
      </c>
      <c r="C88" s="64" t="s">
        <v>31</v>
      </c>
      <c r="D88" s="171">
        <f>SUM(D89:D99)</f>
        <v>168645.16999999998</v>
      </c>
      <c r="E88" s="171">
        <f>SUM(E89:E99)</f>
        <v>188758.19999999998</v>
      </c>
      <c r="F88" s="171">
        <f>SUM(F89:F99)</f>
        <v>178701.72000000003</v>
      </c>
      <c r="G88" s="171">
        <f>SUM(G89:G99)</f>
        <v>221532.23</v>
      </c>
      <c r="H88" s="205">
        <f t="shared" si="2"/>
        <v>0.23967598073482432</v>
      </c>
      <c r="I88" s="199"/>
    </row>
    <row r="89" spans="1:9" s="4" customFormat="1" ht="18.75">
      <c r="A89" s="92" t="s">
        <v>160</v>
      </c>
      <c r="B89" s="77" t="s">
        <v>145</v>
      </c>
      <c r="C89" s="93" t="s">
        <v>31</v>
      </c>
      <c r="D89" s="180">
        <v>63112.28</v>
      </c>
      <c r="E89" s="180">
        <v>62794.53</v>
      </c>
      <c r="F89" s="67">
        <f t="shared" si="3"/>
        <v>62953.41</v>
      </c>
      <c r="G89" s="67">
        <v>96664.65</v>
      </c>
      <c r="H89" s="203">
        <f t="shared" si="2"/>
        <v>0.5354950589650345</v>
      </c>
      <c r="I89" s="199" t="s">
        <v>344</v>
      </c>
    </row>
    <row r="90" spans="1:9" s="4" customFormat="1" ht="18.75">
      <c r="A90" s="92" t="s">
        <v>161</v>
      </c>
      <c r="B90" s="77" t="s">
        <v>146</v>
      </c>
      <c r="C90" s="93" t="s">
        <v>31</v>
      </c>
      <c r="D90" s="180">
        <v>1121.36</v>
      </c>
      <c r="E90" s="180">
        <v>1313.71</v>
      </c>
      <c r="F90" s="67">
        <f t="shared" si="3"/>
        <v>1217.54</v>
      </c>
      <c r="G90" s="67">
        <v>2027.03</v>
      </c>
      <c r="H90" s="203">
        <f t="shared" si="2"/>
        <v>0.6648570067513182</v>
      </c>
      <c r="I90" s="199" t="s">
        <v>344</v>
      </c>
    </row>
    <row r="91" spans="1:9" s="4" customFormat="1" ht="37.5">
      <c r="A91" s="92" t="s">
        <v>162</v>
      </c>
      <c r="B91" s="77" t="s">
        <v>147</v>
      </c>
      <c r="C91" s="93" t="s">
        <v>31</v>
      </c>
      <c r="D91" s="180">
        <v>1208.94</v>
      </c>
      <c r="E91" s="180">
        <v>1051.2</v>
      </c>
      <c r="F91" s="67">
        <f t="shared" si="3"/>
        <v>1130.07</v>
      </c>
      <c r="G91" s="67">
        <v>1003.7</v>
      </c>
      <c r="H91" s="203">
        <f t="shared" si="2"/>
        <v>-0.1118249311989522</v>
      </c>
      <c r="I91" s="217" t="s">
        <v>349</v>
      </c>
    </row>
    <row r="92" spans="1:9" s="4" customFormat="1" ht="18.75">
      <c r="A92" s="92" t="s">
        <v>163</v>
      </c>
      <c r="B92" s="77" t="s">
        <v>148</v>
      </c>
      <c r="C92" s="93" t="s">
        <v>31</v>
      </c>
      <c r="D92" s="180">
        <v>93560.31</v>
      </c>
      <c r="E92" s="180">
        <v>115689.6</v>
      </c>
      <c r="F92" s="67">
        <f t="shared" si="3"/>
        <v>104624.96</v>
      </c>
      <c r="G92" s="67">
        <v>112978.64</v>
      </c>
      <c r="H92" s="203">
        <f t="shared" si="2"/>
        <v>0.07984404486271712</v>
      </c>
      <c r="I92" s="217" t="s">
        <v>350</v>
      </c>
    </row>
    <row r="93" spans="1:9" s="4" customFormat="1" ht="37.5">
      <c r="A93" s="92" t="s">
        <v>164</v>
      </c>
      <c r="B93" s="77" t="s">
        <v>149</v>
      </c>
      <c r="C93" s="93" t="s">
        <v>31</v>
      </c>
      <c r="D93" s="180">
        <v>230.08</v>
      </c>
      <c r="E93" s="180">
        <v>128.25</v>
      </c>
      <c r="F93" s="67">
        <f t="shared" si="3"/>
        <v>179.17</v>
      </c>
      <c r="G93" s="67">
        <v>157.26</v>
      </c>
      <c r="H93" s="203">
        <f t="shared" si="2"/>
        <v>-0.12228609700284643</v>
      </c>
      <c r="I93" s="217" t="s">
        <v>349</v>
      </c>
    </row>
    <row r="94" spans="1:9" s="4" customFormat="1" ht="18.75">
      <c r="A94" s="92" t="s">
        <v>165</v>
      </c>
      <c r="B94" s="77" t="s">
        <v>150</v>
      </c>
      <c r="C94" s="93" t="s">
        <v>31</v>
      </c>
      <c r="D94" s="180">
        <v>2109.37</v>
      </c>
      <c r="E94" s="180">
        <v>1712.15</v>
      </c>
      <c r="F94" s="67">
        <f t="shared" si="3"/>
        <v>1910.76</v>
      </c>
      <c r="G94" s="67">
        <v>2272.79</v>
      </c>
      <c r="H94" s="203">
        <f t="shared" si="2"/>
        <v>0.1894691117670455</v>
      </c>
      <c r="I94" s="199" t="s">
        <v>344</v>
      </c>
    </row>
    <row r="95" spans="1:9" s="4" customFormat="1" ht="18.75">
      <c r="A95" s="92" t="s">
        <v>166</v>
      </c>
      <c r="B95" s="77" t="s">
        <v>151</v>
      </c>
      <c r="C95" s="93" t="s">
        <v>31</v>
      </c>
      <c r="D95" s="180">
        <v>269.83</v>
      </c>
      <c r="E95" s="180">
        <v>403.03</v>
      </c>
      <c r="F95" s="67">
        <f t="shared" si="3"/>
        <v>336.43</v>
      </c>
      <c r="G95" s="67">
        <v>86.85</v>
      </c>
      <c r="H95" s="203">
        <f t="shared" si="2"/>
        <v>-0.7418482299438219</v>
      </c>
      <c r="I95" s="217" t="s">
        <v>351</v>
      </c>
    </row>
    <row r="96" spans="1:9" s="4" customFormat="1" ht="18.75">
      <c r="A96" s="92" t="s">
        <v>167</v>
      </c>
      <c r="B96" s="77" t="s">
        <v>152</v>
      </c>
      <c r="C96" s="93" t="s">
        <v>31</v>
      </c>
      <c r="D96" s="180">
        <v>1336.49</v>
      </c>
      <c r="E96" s="180">
        <v>1567.8</v>
      </c>
      <c r="F96" s="67">
        <f t="shared" si="3"/>
        <v>1452.15</v>
      </c>
      <c r="G96" s="67">
        <v>1447.34</v>
      </c>
      <c r="H96" s="203">
        <f t="shared" si="2"/>
        <v>-0.0033123299934580963</v>
      </c>
      <c r="I96" s="199"/>
    </row>
    <row r="97" spans="1:9" s="4" customFormat="1" ht="18.75">
      <c r="A97" s="92" t="s">
        <v>168</v>
      </c>
      <c r="B97" s="77" t="s">
        <v>153</v>
      </c>
      <c r="C97" s="93" t="s">
        <v>31</v>
      </c>
      <c r="D97" s="180">
        <v>1853.6</v>
      </c>
      <c r="E97" s="180">
        <v>1979.02</v>
      </c>
      <c r="F97" s="67">
        <f t="shared" si="3"/>
        <v>1916.31</v>
      </c>
      <c r="G97" s="67">
        <v>2129.92</v>
      </c>
      <c r="H97" s="203">
        <f t="shared" si="2"/>
        <v>0.11146943866075953</v>
      </c>
      <c r="I97" s="199" t="s">
        <v>344</v>
      </c>
    </row>
    <row r="98" spans="1:9" s="4" customFormat="1" ht="18.75">
      <c r="A98" s="92" t="s">
        <v>169</v>
      </c>
      <c r="B98" s="77" t="s">
        <v>154</v>
      </c>
      <c r="C98" s="93" t="s">
        <v>31</v>
      </c>
      <c r="D98" s="180">
        <v>2915.09</v>
      </c>
      <c r="E98" s="180">
        <v>1549.9</v>
      </c>
      <c r="F98" s="67">
        <f t="shared" si="3"/>
        <v>2232.5</v>
      </c>
      <c r="G98" s="67">
        <v>2366.53</v>
      </c>
      <c r="H98" s="203">
        <f t="shared" si="2"/>
        <v>0.060035834266517485</v>
      </c>
      <c r="I98" s="199" t="s">
        <v>344</v>
      </c>
    </row>
    <row r="99" spans="1:9" s="4" customFormat="1" ht="37.5">
      <c r="A99" s="92" t="s">
        <v>196</v>
      </c>
      <c r="B99" s="77" t="s">
        <v>197</v>
      </c>
      <c r="C99" s="93" t="s">
        <v>31</v>
      </c>
      <c r="D99" s="180">
        <v>927.82</v>
      </c>
      <c r="E99" s="180">
        <v>569.01</v>
      </c>
      <c r="F99" s="67">
        <f t="shared" si="3"/>
        <v>748.42</v>
      </c>
      <c r="G99" s="67">
        <v>397.52</v>
      </c>
      <c r="H99" s="203">
        <f t="shared" si="2"/>
        <v>-0.4688543865743834</v>
      </c>
      <c r="I99" s="217" t="s">
        <v>349</v>
      </c>
    </row>
    <row r="100" spans="1:10" ht="18.75">
      <c r="A100" s="78" t="s">
        <v>134</v>
      </c>
      <c r="B100" s="79" t="s">
        <v>6</v>
      </c>
      <c r="C100" s="57" t="s">
        <v>31</v>
      </c>
      <c r="D100" s="144">
        <f>D101+D149</f>
        <v>245812.75</v>
      </c>
      <c r="E100" s="144">
        <f>E101+E149</f>
        <v>380766.37635625</v>
      </c>
      <c r="F100" s="144">
        <f>F101+F149</f>
        <v>313289.69</v>
      </c>
      <c r="G100" s="144">
        <f>G101+G149</f>
        <v>368710.99</v>
      </c>
      <c r="H100" s="204">
        <f t="shared" si="2"/>
        <v>0.17690112943071945</v>
      </c>
      <c r="I100" s="199"/>
      <c r="J100" s="113">
        <f>(D100+E100)/2</f>
        <v>313289.563178125</v>
      </c>
    </row>
    <row r="101" spans="1:10" s="4" customFormat="1" ht="19.5">
      <c r="A101" s="73" t="s">
        <v>7</v>
      </c>
      <c r="B101" s="63" t="s">
        <v>8</v>
      </c>
      <c r="C101" s="64" t="s">
        <v>31</v>
      </c>
      <c r="D101" s="171">
        <f>SUM(D102,D108:D109,D113:D118)-0.01</f>
        <v>176357.69</v>
      </c>
      <c r="E101" s="171">
        <f>E102+E108+E109+E113+E114+E115+E116+E117+E118</f>
        <v>299441.90635625</v>
      </c>
      <c r="F101" s="171">
        <f>F102+F108+F109+F113+F114+F115+F116+F117+F118</f>
        <v>237899.89</v>
      </c>
      <c r="G101" s="171">
        <f>G102+G108+G109+G113+G114+G115+G116+G117+G118</f>
        <v>274841.99</v>
      </c>
      <c r="H101" s="205">
        <f t="shared" si="2"/>
        <v>0.1552842248056523</v>
      </c>
      <c r="I101" s="199"/>
      <c r="J101" s="151">
        <f>(D101+E101)/2</f>
        <v>237899.798178125</v>
      </c>
    </row>
    <row r="102" spans="1:9" ht="37.5">
      <c r="A102" s="50" t="s">
        <v>9</v>
      </c>
      <c r="B102" s="66" t="s">
        <v>121</v>
      </c>
      <c r="C102" s="13" t="s">
        <v>31</v>
      </c>
      <c r="D102" s="180">
        <f>D103+D104</f>
        <v>51354.71</v>
      </c>
      <c r="E102" s="180">
        <f>E103+E104</f>
        <v>52159.05635625</v>
      </c>
      <c r="F102" s="180">
        <f>F103+F104</f>
        <v>51756.880000000005</v>
      </c>
      <c r="G102" s="180">
        <f>G103+G104</f>
        <v>64528.03</v>
      </c>
      <c r="H102" s="203">
        <f t="shared" si="2"/>
        <v>0.24675270224944001</v>
      </c>
      <c r="I102" s="218" t="s">
        <v>359</v>
      </c>
    </row>
    <row r="103" spans="1:9" ht="18.75">
      <c r="A103" s="50" t="s">
        <v>10</v>
      </c>
      <c r="B103" s="80" t="s">
        <v>122</v>
      </c>
      <c r="C103" s="13" t="s">
        <v>31</v>
      </c>
      <c r="D103" s="180">
        <v>46599.17</v>
      </c>
      <c r="E103" s="180">
        <v>46878.21</v>
      </c>
      <c r="F103" s="67">
        <f aca="true" t="shared" si="4" ref="F103:F108">ROUND((D103+E103)/2,2)</f>
        <v>46738.69</v>
      </c>
      <c r="G103" s="67">
        <f>57729.31+356.28</f>
        <v>58085.59</v>
      </c>
      <c r="H103" s="203">
        <f t="shared" si="2"/>
        <v>0.2427731714346293</v>
      </c>
      <c r="I103" s="199"/>
    </row>
    <row r="104" spans="1:9" ht="18.75">
      <c r="A104" s="50" t="s">
        <v>2</v>
      </c>
      <c r="B104" s="80" t="s">
        <v>216</v>
      </c>
      <c r="C104" s="13" t="s">
        <v>31</v>
      </c>
      <c r="D104" s="180">
        <f>SUM(D105:D107)</f>
        <v>4755.54</v>
      </c>
      <c r="E104" s="180">
        <f>SUM(E105:E107)</f>
        <v>5280.84635625</v>
      </c>
      <c r="F104" s="180">
        <f t="shared" si="4"/>
        <v>5018.19</v>
      </c>
      <c r="G104" s="180">
        <f>SUM(G105:G107)</f>
        <v>6442.4400000000005</v>
      </c>
      <c r="H104" s="203">
        <f t="shared" si="2"/>
        <v>0.2838174720367306</v>
      </c>
      <c r="I104" s="199"/>
    </row>
    <row r="105" spans="1:9" ht="18" hidden="1">
      <c r="A105" s="50" t="s">
        <v>235</v>
      </c>
      <c r="B105" s="80" t="s">
        <v>218</v>
      </c>
      <c r="C105" s="13" t="s">
        <v>31</v>
      </c>
      <c r="D105" s="180">
        <v>4755.54</v>
      </c>
      <c r="E105" s="180">
        <v>2440.9</v>
      </c>
      <c r="F105" s="67"/>
      <c r="G105" s="67">
        <v>3071.79</v>
      </c>
      <c r="H105" s="203"/>
      <c r="I105" s="199"/>
    </row>
    <row r="106" spans="1:9" ht="18" hidden="1">
      <c r="A106" s="50" t="s">
        <v>234</v>
      </c>
      <c r="B106" s="80" t="s">
        <v>217</v>
      </c>
      <c r="C106" s="13" t="s">
        <v>31</v>
      </c>
      <c r="D106" s="180"/>
      <c r="E106" s="180">
        <v>1433.6</v>
      </c>
      <c r="F106" s="67"/>
      <c r="G106" s="67">
        <v>1726.43</v>
      </c>
      <c r="H106" s="203"/>
      <c r="I106" s="199"/>
    </row>
    <row r="107" spans="1:9" ht="18" hidden="1">
      <c r="A107" s="50" t="s">
        <v>236</v>
      </c>
      <c r="B107" s="80" t="s">
        <v>208</v>
      </c>
      <c r="C107" s="13" t="s">
        <v>31</v>
      </c>
      <c r="D107" s="180"/>
      <c r="E107" s="180">
        <v>1406.3463562499999</v>
      </c>
      <c r="F107" s="67"/>
      <c r="G107" s="67">
        <v>1644.22</v>
      </c>
      <c r="H107" s="203"/>
      <c r="I107" s="199"/>
    </row>
    <row r="108" spans="1:9" s="2" customFormat="1" ht="18.75">
      <c r="A108" s="50" t="s">
        <v>46</v>
      </c>
      <c r="B108" s="77" t="s">
        <v>155</v>
      </c>
      <c r="C108" s="13" t="s">
        <v>31</v>
      </c>
      <c r="D108" s="180">
        <v>571.57</v>
      </c>
      <c r="E108" s="180">
        <v>335.92</v>
      </c>
      <c r="F108" s="67">
        <f t="shared" si="4"/>
        <v>453.75</v>
      </c>
      <c r="G108" s="67">
        <v>728.3</v>
      </c>
      <c r="H108" s="203">
        <f t="shared" si="2"/>
        <v>0.605068870523416</v>
      </c>
      <c r="I108" s="33" t="s">
        <v>344</v>
      </c>
    </row>
    <row r="109" spans="1:9" ht="18.75">
      <c r="A109" s="50" t="s">
        <v>47</v>
      </c>
      <c r="B109" s="66" t="s">
        <v>123</v>
      </c>
      <c r="C109" s="13" t="s">
        <v>31</v>
      </c>
      <c r="D109" s="180">
        <f>SUM(D110:D112)</f>
        <v>46195.35</v>
      </c>
      <c r="E109" s="180">
        <f>SUM(E110:E112)</f>
        <v>33824.28</v>
      </c>
      <c r="F109" s="180">
        <f>SUM(F110:F112)</f>
        <v>40009.83</v>
      </c>
      <c r="G109" s="180">
        <f>SUM(G110:G112)</f>
        <v>46699.729999999996</v>
      </c>
      <c r="H109" s="203">
        <f t="shared" si="2"/>
        <v>0.16720640902498185</v>
      </c>
      <c r="I109" s="199" t="s">
        <v>352</v>
      </c>
    </row>
    <row r="110" spans="1:9" ht="18.75">
      <c r="A110" s="97" t="s">
        <v>186</v>
      </c>
      <c r="B110" s="98" t="s">
        <v>156</v>
      </c>
      <c r="C110" s="96" t="s">
        <v>31</v>
      </c>
      <c r="D110" s="180">
        <v>26313.59</v>
      </c>
      <c r="E110" s="180">
        <v>15049.38</v>
      </c>
      <c r="F110" s="67">
        <f aca="true" t="shared" si="5" ref="F110:F168">ROUND((D110+E110)/2,2)</f>
        <v>20681.49</v>
      </c>
      <c r="G110" s="67">
        <v>26859.19</v>
      </c>
      <c r="H110" s="203">
        <f t="shared" si="2"/>
        <v>0.29870671793956793</v>
      </c>
      <c r="I110" s="199"/>
    </row>
    <row r="111" spans="1:9" ht="18.75">
      <c r="A111" s="97" t="s">
        <v>187</v>
      </c>
      <c r="B111" s="98" t="s">
        <v>157</v>
      </c>
      <c r="C111" s="96" t="s">
        <v>31</v>
      </c>
      <c r="D111" s="180">
        <v>18758.24</v>
      </c>
      <c r="E111" s="180">
        <v>17818.27</v>
      </c>
      <c r="F111" s="67">
        <f t="shared" si="5"/>
        <v>18288.26</v>
      </c>
      <c r="G111" s="67">
        <v>18762.37</v>
      </c>
      <c r="H111" s="203">
        <f t="shared" si="2"/>
        <v>0.025924281478937994</v>
      </c>
      <c r="I111" s="199"/>
    </row>
    <row r="112" spans="1:9" ht="18.75">
      <c r="A112" s="97" t="s">
        <v>188</v>
      </c>
      <c r="B112" s="98" t="s">
        <v>158</v>
      </c>
      <c r="C112" s="96" t="s">
        <v>31</v>
      </c>
      <c r="D112" s="180">
        <v>1123.52</v>
      </c>
      <c r="E112" s="180">
        <v>956.63</v>
      </c>
      <c r="F112" s="67">
        <f t="shared" si="5"/>
        <v>1040.08</v>
      </c>
      <c r="G112" s="67">
        <v>1078.17</v>
      </c>
      <c r="H112" s="203">
        <f t="shared" si="2"/>
        <v>0.036622182909007206</v>
      </c>
      <c r="I112" s="199"/>
    </row>
    <row r="113" spans="1:9" s="2" customFormat="1" ht="18.75">
      <c r="A113" s="50" t="s">
        <v>48</v>
      </c>
      <c r="B113" s="66" t="s">
        <v>237</v>
      </c>
      <c r="C113" s="13" t="s">
        <v>31</v>
      </c>
      <c r="D113" s="180"/>
      <c r="E113" s="180">
        <v>20502.61</v>
      </c>
      <c r="F113" s="67">
        <f t="shared" si="5"/>
        <v>10251.31</v>
      </c>
      <c r="G113" s="67">
        <v>10251.31</v>
      </c>
      <c r="H113" s="203">
        <f t="shared" si="2"/>
        <v>0</v>
      </c>
      <c r="I113" s="33"/>
    </row>
    <row r="114" spans="1:9" s="2" customFormat="1" ht="18.75">
      <c r="A114" s="50" t="s">
        <v>49</v>
      </c>
      <c r="B114" s="66" t="s">
        <v>125</v>
      </c>
      <c r="C114" s="13" t="s">
        <v>31</v>
      </c>
      <c r="D114" s="180"/>
      <c r="E114" s="180">
        <v>1018.96</v>
      </c>
      <c r="F114" s="67">
        <f t="shared" si="5"/>
        <v>509.48</v>
      </c>
      <c r="G114" s="67">
        <v>509.48</v>
      </c>
      <c r="H114" s="203">
        <f t="shared" si="2"/>
        <v>0</v>
      </c>
      <c r="I114" s="33"/>
    </row>
    <row r="115" spans="1:9" s="2" customFormat="1" ht="18.75">
      <c r="A115" s="50" t="s">
        <v>50</v>
      </c>
      <c r="B115" s="66" t="s">
        <v>126</v>
      </c>
      <c r="C115" s="13" t="s">
        <v>31</v>
      </c>
      <c r="D115" s="180">
        <v>164.16</v>
      </c>
      <c r="E115" s="180">
        <v>207.31</v>
      </c>
      <c r="F115" s="67">
        <f t="shared" si="5"/>
        <v>185.74</v>
      </c>
      <c r="G115" s="67">
        <v>190.64</v>
      </c>
      <c r="H115" s="203">
        <f t="shared" si="2"/>
        <v>0.026380962635942584</v>
      </c>
      <c r="I115" s="33" t="s">
        <v>344</v>
      </c>
    </row>
    <row r="116" spans="1:9" s="2" customFormat="1" ht="18.75">
      <c r="A116" s="50" t="s">
        <v>51</v>
      </c>
      <c r="B116" s="66" t="s">
        <v>127</v>
      </c>
      <c r="C116" s="13" t="s">
        <v>31</v>
      </c>
      <c r="D116" s="180">
        <v>734.42</v>
      </c>
      <c r="E116" s="180">
        <v>312.59</v>
      </c>
      <c r="F116" s="67">
        <f t="shared" si="5"/>
        <v>523.51</v>
      </c>
      <c r="G116" s="67">
        <v>746.76</v>
      </c>
      <c r="H116" s="203">
        <f t="shared" si="2"/>
        <v>0.4264483964012149</v>
      </c>
      <c r="I116" s="33" t="s">
        <v>344</v>
      </c>
    </row>
    <row r="117" spans="1:9" ht="18.75">
      <c r="A117" s="50" t="s">
        <v>52</v>
      </c>
      <c r="B117" s="66" t="s">
        <v>128</v>
      </c>
      <c r="C117" s="13" t="s">
        <v>31</v>
      </c>
      <c r="D117" s="180">
        <v>483.1</v>
      </c>
      <c r="E117" s="180">
        <v>2357.46</v>
      </c>
      <c r="F117" s="67">
        <f t="shared" si="5"/>
        <v>1420.28</v>
      </c>
      <c r="G117" s="67">
        <v>1636.03</v>
      </c>
      <c r="H117" s="203">
        <f t="shared" si="2"/>
        <v>0.1519066662911539</v>
      </c>
      <c r="I117" s="199" t="s">
        <v>353</v>
      </c>
    </row>
    <row r="118" spans="1:9" ht="18.75">
      <c r="A118" s="78" t="s">
        <v>53</v>
      </c>
      <c r="B118" s="102" t="s">
        <v>12</v>
      </c>
      <c r="C118" s="57" t="s">
        <v>31</v>
      </c>
      <c r="D118" s="144">
        <f>SUM(D119:D132,D140:D144,D147:D148)</f>
        <v>76854.39</v>
      </c>
      <c r="E118" s="144">
        <f>SUM(E119:E132,E140:E144,E147:E148)</f>
        <v>188723.72</v>
      </c>
      <c r="F118" s="144">
        <f>SUM(F119:F132,F140:F144,F147:F148)</f>
        <v>132789.11000000002</v>
      </c>
      <c r="G118" s="144">
        <f>SUM(G119:G132,G140:G144,G147:G148)</f>
        <v>149551.71</v>
      </c>
      <c r="H118" s="204">
        <f t="shared" si="2"/>
        <v>0.12623474922002242</v>
      </c>
      <c r="I118" s="199"/>
    </row>
    <row r="119" spans="1:9" ht="18.75">
      <c r="A119" s="92" t="s">
        <v>238</v>
      </c>
      <c r="B119" s="77" t="s">
        <v>177</v>
      </c>
      <c r="C119" s="93" t="s">
        <v>31</v>
      </c>
      <c r="D119" s="180">
        <v>475.67</v>
      </c>
      <c r="E119" s="180">
        <v>187.55</v>
      </c>
      <c r="F119" s="67">
        <f t="shared" si="5"/>
        <v>331.61</v>
      </c>
      <c r="G119" s="67">
        <v>460.58</v>
      </c>
      <c r="H119" s="203">
        <f t="shared" si="2"/>
        <v>0.388920720123036</v>
      </c>
      <c r="I119" s="217" t="s">
        <v>354</v>
      </c>
    </row>
    <row r="120" spans="1:9" ht="37.5">
      <c r="A120" s="92" t="s">
        <v>239</v>
      </c>
      <c r="B120" s="77" t="s">
        <v>172</v>
      </c>
      <c r="C120" s="93" t="s">
        <v>31</v>
      </c>
      <c r="D120" s="180">
        <v>139.31</v>
      </c>
      <c r="E120" s="180">
        <v>124.6</v>
      </c>
      <c r="F120" s="67">
        <f t="shared" si="5"/>
        <v>131.96</v>
      </c>
      <c r="G120" s="67">
        <v>720.5</v>
      </c>
      <c r="H120" s="203">
        <f t="shared" si="2"/>
        <v>4.45998787511367</v>
      </c>
      <c r="I120" s="217" t="s">
        <v>371</v>
      </c>
    </row>
    <row r="121" spans="1:9" ht="37.5">
      <c r="A121" s="92" t="s">
        <v>240</v>
      </c>
      <c r="B121" s="77" t="s">
        <v>173</v>
      </c>
      <c r="C121" s="93" t="s">
        <v>31</v>
      </c>
      <c r="D121" s="180">
        <v>325.26</v>
      </c>
      <c r="E121" s="180">
        <v>1028.62</v>
      </c>
      <c r="F121" s="67">
        <f t="shared" si="5"/>
        <v>676.94</v>
      </c>
      <c r="G121" s="67">
        <v>525.06</v>
      </c>
      <c r="H121" s="203">
        <f t="shared" si="2"/>
        <v>-0.22436257275386307</v>
      </c>
      <c r="I121" s="217" t="s">
        <v>349</v>
      </c>
    </row>
    <row r="122" spans="1:9" ht="18.75">
      <c r="A122" s="92" t="s">
        <v>241</v>
      </c>
      <c r="B122" s="77" t="s">
        <v>176</v>
      </c>
      <c r="C122" s="93" t="s">
        <v>31</v>
      </c>
      <c r="D122" s="180">
        <v>1.97</v>
      </c>
      <c r="E122" s="180">
        <v>1.79</v>
      </c>
      <c r="F122" s="67">
        <f t="shared" si="5"/>
        <v>1.88</v>
      </c>
      <c r="G122" s="67">
        <v>1.79</v>
      </c>
      <c r="H122" s="203">
        <f t="shared" si="2"/>
        <v>-0.04787234042553179</v>
      </c>
      <c r="I122" s="199"/>
    </row>
    <row r="123" spans="1:9" ht="18.75">
      <c r="A123" s="92" t="s">
        <v>242</v>
      </c>
      <c r="B123" s="77" t="s">
        <v>175</v>
      </c>
      <c r="C123" s="93" t="s">
        <v>31</v>
      </c>
      <c r="D123" s="180">
        <v>787.89</v>
      </c>
      <c r="E123" s="180">
        <v>296.31</v>
      </c>
      <c r="F123" s="67">
        <f t="shared" si="5"/>
        <v>542.1</v>
      </c>
      <c r="G123" s="67">
        <v>561.23</v>
      </c>
      <c r="H123" s="203">
        <f t="shared" si="2"/>
        <v>0.0352886921232245</v>
      </c>
      <c r="I123" s="199" t="s">
        <v>344</v>
      </c>
    </row>
    <row r="124" spans="1:9" ht="18.75">
      <c r="A124" s="92" t="s">
        <v>243</v>
      </c>
      <c r="B124" s="77" t="s">
        <v>174</v>
      </c>
      <c r="C124" s="93" t="s">
        <v>31</v>
      </c>
      <c r="D124" s="180">
        <v>10580.24</v>
      </c>
      <c r="E124" s="180">
        <v>10064.64</v>
      </c>
      <c r="F124" s="67">
        <f t="shared" si="5"/>
        <v>10322.44</v>
      </c>
      <c r="G124" s="67">
        <v>10561.03</v>
      </c>
      <c r="H124" s="203">
        <f t="shared" si="2"/>
        <v>0.023113721174450985</v>
      </c>
      <c r="I124" s="199"/>
    </row>
    <row r="125" spans="1:9" ht="37.5">
      <c r="A125" s="92" t="s">
        <v>244</v>
      </c>
      <c r="B125" s="77" t="s">
        <v>171</v>
      </c>
      <c r="C125" s="93" t="s">
        <v>31</v>
      </c>
      <c r="D125" s="180">
        <v>155.68</v>
      </c>
      <c r="E125" s="180">
        <v>195.87</v>
      </c>
      <c r="F125" s="67">
        <f t="shared" si="5"/>
        <v>175.78</v>
      </c>
      <c r="G125" s="67">
        <v>77.68</v>
      </c>
      <c r="H125" s="203">
        <f t="shared" si="2"/>
        <v>-0.55808396859711</v>
      </c>
      <c r="I125" s="217" t="s">
        <v>349</v>
      </c>
    </row>
    <row r="126" spans="1:9" ht="18.75">
      <c r="A126" s="92" t="s">
        <v>245</v>
      </c>
      <c r="B126" s="77" t="s">
        <v>149</v>
      </c>
      <c r="C126" s="93" t="s">
        <v>31</v>
      </c>
      <c r="D126" s="180">
        <v>68.67</v>
      </c>
      <c r="E126" s="180">
        <v>18.99</v>
      </c>
      <c r="F126" s="67">
        <f t="shared" si="5"/>
        <v>43.83</v>
      </c>
      <c r="G126" s="67">
        <v>52.72</v>
      </c>
      <c r="H126" s="203">
        <f aca="true" t="shared" si="6" ref="H126:H171">G126/F126-1</f>
        <v>0.20282911248003654</v>
      </c>
      <c r="I126" s="217" t="s">
        <v>355</v>
      </c>
    </row>
    <row r="127" spans="1:9" ht="56.25">
      <c r="A127" s="92"/>
      <c r="B127" s="77" t="s">
        <v>331</v>
      </c>
      <c r="C127" s="93" t="s">
        <v>31</v>
      </c>
      <c r="D127" s="180">
        <v>14.29</v>
      </c>
      <c r="E127" s="180"/>
      <c r="F127" s="67">
        <f t="shared" si="5"/>
        <v>7.15</v>
      </c>
      <c r="G127" s="67">
        <v>46.12</v>
      </c>
      <c r="H127" s="203">
        <f t="shared" si="6"/>
        <v>5.45034965034965</v>
      </c>
      <c r="I127" s="217" t="s">
        <v>372</v>
      </c>
    </row>
    <row r="128" spans="1:9" ht="37.5">
      <c r="A128" s="92" t="s">
        <v>246</v>
      </c>
      <c r="B128" s="77" t="s">
        <v>170</v>
      </c>
      <c r="C128" s="93" t="s">
        <v>31</v>
      </c>
      <c r="D128" s="180"/>
      <c r="E128" s="180">
        <v>163.62</v>
      </c>
      <c r="F128" s="67">
        <f t="shared" si="5"/>
        <v>81.81</v>
      </c>
      <c r="G128" s="67"/>
      <c r="H128" s="203">
        <f t="shared" si="6"/>
        <v>-1</v>
      </c>
      <c r="I128" s="217" t="s">
        <v>349</v>
      </c>
    </row>
    <row r="129" spans="1:9" ht="37.5">
      <c r="A129" s="92" t="s">
        <v>247</v>
      </c>
      <c r="B129" s="77" t="s">
        <v>198</v>
      </c>
      <c r="C129" s="93" t="s">
        <v>31</v>
      </c>
      <c r="D129" s="180">
        <v>140</v>
      </c>
      <c r="E129" s="180">
        <v>1212.39</v>
      </c>
      <c r="F129" s="67">
        <f t="shared" si="5"/>
        <v>676.2</v>
      </c>
      <c r="G129" s="67">
        <f>565+700+334+748.74</f>
        <v>2347.74</v>
      </c>
      <c r="H129" s="203">
        <f t="shared" si="6"/>
        <v>2.4719609582963615</v>
      </c>
      <c r="I129" s="217" t="s">
        <v>356</v>
      </c>
    </row>
    <row r="130" spans="1:9" ht="37.5">
      <c r="A130" s="92" t="s">
        <v>248</v>
      </c>
      <c r="B130" s="77" t="s">
        <v>37</v>
      </c>
      <c r="C130" s="93" t="s">
        <v>31</v>
      </c>
      <c r="D130" s="180">
        <v>281.27</v>
      </c>
      <c r="E130" s="180">
        <v>104.46</v>
      </c>
      <c r="F130" s="67">
        <f t="shared" si="5"/>
        <v>192.87</v>
      </c>
      <c r="G130" s="67">
        <v>131.25</v>
      </c>
      <c r="H130" s="203">
        <f t="shared" si="6"/>
        <v>-0.3194898117903251</v>
      </c>
      <c r="I130" s="217" t="s">
        <v>349</v>
      </c>
    </row>
    <row r="131" spans="1:9" ht="18.75">
      <c r="A131" s="92" t="s">
        <v>249</v>
      </c>
      <c r="B131" s="77" t="s">
        <v>228</v>
      </c>
      <c r="C131" s="93" t="s">
        <v>31</v>
      </c>
      <c r="D131" s="180">
        <v>320.81</v>
      </c>
      <c r="E131" s="180">
        <v>333.94</v>
      </c>
      <c r="F131" s="67">
        <f t="shared" si="5"/>
        <v>327.38</v>
      </c>
      <c r="G131" s="67">
        <v>327.86</v>
      </c>
      <c r="H131" s="203">
        <f t="shared" si="6"/>
        <v>0.0014661860834503937</v>
      </c>
      <c r="I131" s="217"/>
    </row>
    <row r="132" spans="1:9" ht="18.75">
      <c r="A132" s="92" t="s">
        <v>250</v>
      </c>
      <c r="B132" s="94" t="s">
        <v>232</v>
      </c>
      <c r="C132" s="103" t="s">
        <v>31</v>
      </c>
      <c r="D132" s="181">
        <v>3415.83</v>
      </c>
      <c r="E132" s="180">
        <f>SUM(E133:E134,E138:E139)</f>
        <v>4689</v>
      </c>
      <c r="F132" s="180">
        <f>ROUND((D132+E132)/2,2)</f>
        <v>4052.42</v>
      </c>
      <c r="G132" s="67">
        <f>SUM(G133:G134,G138:G139)</f>
        <v>4748.61</v>
      </c>
      <c r="H132" s="203">
        <f t="shared" si="6"/>
        <v>0.1717961119528577</v>
      </c>
      <c r="I132" s="217" t="s">
        <v>367</v>
      </c>
    </row>
    <row r="133" spans="1:9" ht="26.25" customHeight="1">
      <c r="A133" s="92" t="s">
        <v>251</v>
      </c>
      <c r="B133" s="77" t="s">
        <v>229</v>
      </c>
      <c r="C133" s="93" t="s">
        <v>31</v>
      </c>
      <c r="D133" s="180">
        <f>D207*12/1000</f>
        <v>1849.8</v>
      </c>
      <c r="E133" s="180">
        <v>1965.41</v>
      </c>
      <c r="F133" s="67">
        <f>ROUND((D133+E133)/2,2)</f>
        <v>1907.61</v>
      </c>
      <c r="G133" s="67">
        <v>2621.99</v>
      </c>
      <c r="H133" s="203">
        <f t="shared" si="6"/>
        <v>0.3744895445085734</v>
      </c>
      <c r="I133" s="217"/>
    </row>
    <row r="134" spans="1:9" ht="18.75">
      <c r="A134" s="92" t="s">
        <v>252</v>
      </c>
      <c r="B134" s="77" t="s">
        <v>230</v>
      </c>
      <c r="C134" s="93" t="s">
        <v>31</v>
      </c>
      <c r="D134" s="180"/>
      <c r="E134" s="180">
        <f>SUM(E135:E137)</f>
        <v>221.36</v>
      </c>
      <c r="F134" s="67"/>
      <c r="G134" s="67">
        <f>SUM(G135:G137)</f>
        <v>292.15999999999997</v>
      </c>
      <c r="H134" s="203"/>
      <c r="I134" s="217"/>
    </row>
    <row r="135" spans="1:9" ht="23.25" customHeight="1" hidden="1">
      <c r="A135" s="92" t="s">
        <v>253</v>
      </c>
      <c r="B135" s="77" t="s">
        <v>218</v>
      </c>
      <c r="C135" s="93" t="s">
        <v>31</v>
      </c>
      <c r="D135" s="180"/>
      <c r="E135" s="180">
        <v>102.5</v>
      </c>
      <c r="F135" s="67"/>
      <c r="G135" s="67">
        <v>132.55</v>
      </c>
      <c r="H135" s="203"/>
      <c r="I135" s="217"/>
    </row>
    <row r="136" spans="1:9" ht="23.25" customHeight="1" hidden="1">
      <c r="A136" s="92" t="s">
        <v>254</v>
      </c>
      <c r="B136" s="77" t="s">
        <v>217</v>
      </c>
      <c r="C136" s="93" t="s">
        <v>31</v>
      </c>
      <c r="D136" s="180"/>
      <c r="E136" s="180">
        <v>59.9</v>
      </c>
      <c r="F136" s="67"/>
      <c r="G136" s="67">
        <v>80.26</v>
      </c>
      <c r="H136" s="203"/>
      <c r="I136" s="217"/>
    </row>
    <row r="137" spans="1:9" ht="23.25" customHeight="1" hidden="1">
      <c r="A137" s="92" t="s">
        <v>255</v>
      </c>
      <c r="B137" s="77" t="s">
        <v>231</v>
      </c>
      <c r="C137" s="93" t="s">
        <v>31</v>
      </c>
      <c r="D137" s="180"/>
      <c r="E137" s="180">
        <v>58.96</v>
      </c>
      <c r="F137" s="67"/>
      <c r="G137" s="67">
        <v>79.35</v>
      </c>
      <c r="H137" s="203"/>
      <c r="I137" s="217"/>
    </row>
    <row r="138" spans="1:9" ht="18.75">
      <c r="A138" s="92" t="s">
        <v>256</v>
      </c>
      <c r="B138" s="66" t="s">
        <v>124</v>
      </c>
      <c r="C138" s="13" t="s">
        <v>31</v>
      </c>
      <c r="D138" s="180"/>
      <c r="E138" s="180">
        <v>1516.01</v>
      </c>
      <c r="F138" s="67"/>
      <c r="G138" s="67">
        <v>758.01</v>
      </c>
      <c r="H138" s="203"/>
      <c r="I138" s="217"/>
    </row>
    <row r="139" spans="1:9" ht="18.75">
      <c r="A139" s="92" t="s">
        <v>257</v>
      </c>
      <c r="B139" s="66" t="s">
        <v>233</v>
      </c>
      <c r="C139" s="13" t="s">
        <v>31</v>
      </c>
      <c r="D139" s="180"/>
      <c r="E139" s="180">
        <v>986.22</v>
      </c>
      <c r="F139" s="67"/>
      <c r="G139" s="67">
        <v>1076.45</v>
      </c>
      <c r="H139" s="203"/>
      <c r="I139" s="217"/>
    </row>
    <row r="140" spans="1:9" ht="37.5">
      <c r="A140" s="92" t="s">
        <v>258</v>
      </c>
      <c r="B140" s="77" t="s">
        <v>183</v>
      </c>
      <c r="C140" s="93" t="s">
        <v>31</v>
      </c>
      <c r="D140" s="180">
        <v>55.39</v>
      </c>
      <c r="E140" s="180">
        <v>154.37</v>
      </c>
      <c r="F140" s="67">
        <f t="shared" si="5"/>
        <v>104.88</v>
      </c>
      <c r="G140" s="67">
        <v>87.11</v>
      </c>
      <c r="H140" s="203">
        <f t="shared" si="6"/>
        <v>-0.16943173150266966</v>
      </c>
      <c r="I140" s="217" t="s">
        <v>349</v>
      </c>
    </row>
    <row r="141" spans="1:9" ht="37.5">
      <c r="A141" s="92" t="s">
        <v>259</v>
      </c>
      <c r="B141" s="77" t="s">
        <v>184</v>
      </c>
      <c r="C141" s="93" t="s">
        <v>31</v>
      </c>
      <c r="D141" s="180"/>
      <c r="E141" s="180">
        <v>80.81</v>
      </c>
      <c r="F141" s="67">
        <f t="shared" si="5"/>
        <v>40.41</v>
      </c>
      <c r="G141" s="67"/>
      <c r="H141" s="203">
        <f t="shared" si="6"/>
        <v>-1</v>
      </c>
      <c r="I141" s="217" t="s">
        <v>349</v>
      </c>
    </row>
    <row r="142" spans="1:9" ht="18.75">
      <c r="A142" s="92" t="s">
        <v>260</v>
      </c>
      <c r="B142" s="77" t="s">
        <v>147</v>
      </c>
      <c r="C142" s="93" t="s">
        <v>31</v>
      </c>
      <c r="D142" s="180">
        <v>1191.74</v>
      </c>
      <c r="E142" s="180">
        <v>886.38</v>
      </c>
      <c r="F142" s="67">
        <f t="shared" si="5"/>
        <v>1039.06</v>
      </c>
      <c r="G142" s="67">
        <v>1423.78</v>
      </c>
      <c r="H142" s="203">
        <f t="shared" si="6"/>
        <v>0.37025773295093645</v>
      </c>
      <c r="I142" s="217" t="s">
        <v>344</v>
      </c>
    </row>
    <row r="143" spans="1:9" ht="37.5">
      <c r="A143" s="92" t="s">
        <v>261</v>
      </c>
      <c r="B143" s="77" t="s">
        <v>185</v>
      </c>
      <c r="C143" s="93" t="s">
        <v>31</v>
      </c>
      <c r="D143" s="180">
        <v>322.06</v>
      </c>
      <c r="E143" s="180">
        <v>175.15</v>
      </c>
      <c r="F143" s="67">
        <f t="shared" si="5"/>
        <v>248.61</v>
      </c>
      <c r="G143" s="67">
        <v>195</v>
      </c>
      <c r="H143" s="203">
        <f t="shared" si="6"/>
        <v>-0.21563895257632437</v>
      </c>
      <c r="I143" s="217" t="s">
        <v>349</v>
      </c>
    </row>
    <row r="144" spans="1:9" ht="18.75">
      <c r="A144" s="92" t="s">
        <v>262</v>
      </c>
      <c r="B144" s="86" t="s">
        <v>88</v>
      </c>
      <c r="C144" s="59" t="s">
        <v>31</v>
      </c>
      <c r="D144" s="144">
        <f>SUM(D145:D146)</f>
        <v>58114.75</v>
      </c>
      <c r="E144" s="144">
        <f>SUM(E145:E146)</f>
        <v>168471.46000000002</v>
      </c>
      <c r="F144" s="144">
        <f>SUM(F145:F146)</f>
        <v>113293.11</v>
      </c>
      <c r="G144" s="144">
        <f>SUM(G145:G146)</f>
        <v>127283.65</v>
      </c>
      <c r="H144" s="204">
        <f t="shared" si="6"/>
        <v>0.12348976914836207</v>
      </c>
      <c r="I144" s="217"/>
    </row>
    <row r="145" spans="1:9" ht="18.75">
      <c r="A145" s="92" t="s">
        <v>263</v>
      </c>
      <c r="B145" s="95" t="s">
        <v>89</v>
      </c>
      <c r="C145" s="93" t="s">
        <v>31</v>
      </c>
      <c r="D145" s="180">
        <v>58114.75</v>
      </c>
      <c r="E145" s="180">
        <v>168043.04</v>
      </c>
      <c r="F145" s="67">
        <f t="shared" si="5"/>
        <v>113078.9</v>
      </c>
      <c r="G145" s="67">
        <v>126855.23</v>
      </c>
      <c r="H145" s="203">
        <f t="shared" si="6"/>
        <v>0.12182935985404875</v>
      </c>
      <c r="I145" s="87" t="s">
        <v>358</v>
      </c>
    </row>
    <row r="146" spans="1:9" ht="18.75">
      <c r="A146" s="92" t="s">
        <v>264</v>
      </c>
      <c r="B146" s="95" t="s">
        <v>90</v>
      </c>
      <c r="C146" s="93" t="s">
        <v>31</v>
      </c>
      <c r="D146" s="180"/>
      <c r="E146" s="180">
        <v>428.42</v>
      </c>
      <c r="F146" s="67">
        <f t="shared" si="5"/>
        <v>214.21</v>
      </c>
      <c r="G146" s="67">
        <v>428.42</v>
      </c>
      <c r="H146" s="203">
        <f t="shared" si="6"/>
        <v>1</v>
      </c>
      <c r="I146" s="217"/>
    </row>
    <row r="147" spans="1:9" ht="18.75">
      <c r="A147" s="92" t="s">
        <v>265</v>
      </c>
      <c r="B147" s="77" t="s">
        <v>199</v>
      </c>
      <c r="C147" s="93" t="s">
        <v>31</v>
      </c>
      <c r="D147" s="180">
        <v>231.78</v>
      </c>
      <c r="E147" s="180">
        <v>333.53</v>
      </c>
      <c r="F147" s="67">
        <f t="shared" si="5"/>
        <v>282.66</v>
      </c>
      <c r="G147" s="67"/>
      <c r="H147" s="203">
        <f t="shared" si="6"/>
        <v>-1</v>
      </c>
      <c r="I147" s="242" t="s">
        <v>357</v>
      </c>
    </row>
    <row r="148" spans="1:9" ht="18.75">
      <c r="A148" s="92" t="s">
        <v>266</v>
      </c>
      <c r="B148" s="77" t="s">
        <v>200</v>
      </c>
      <c r="C148" s="93" t="s">
        <v>31</v>
      </c>
      <c r="D148" s="180">
        <v>231.78</v>
      </c>
      <c r="E148" s="180">
        <v>200.24</v>
      </c>
      <c r="F148" s="67">
        <f t="shared" si="5"/>
        <v>216.01</v>
      </c>
      <c r="G148" s="67"/>
      <c r="H148" s="203">
        <f t="shared" si="6"/>
        <v>-1</v>
      </c>
      <c r="I148" s="243"/>
    </row>
    <row r="149" spans="1:10" ht="19.5">
      <c r="A149" s="73" t="s">
        <v>38</v>
      </c>
      <c r="B149" s="63" t="s">
        <v>39</v>
      </c>
      <c r="C149" s="57" t="s">
        <v>31</v>
      </c>
      <c r="D149" s="144">
        <f>SUM(D150:D151,D155:D160)</f>
        <v>69455.06</v>
      </c>
      <c r="E149" s="144">
        <f>SUM(E150:E151,E155:E160)+0.01</f>
        <v>81324.47</v>
      </c>
      <c r="F149" s="144">
        <f>SUM(F150:F151,F155:F160)</f>
        <v>75389.8</v>
      </c>
      <c r="G149" s="61">
        <f>SUM(G150:G151,G155:G160)</f>
        <v>93869</v>
      </c>
      <c r="H149" s="204">
        <f t="shared" si="6"/>
        <v>0.24511538696216184</v>
      </c>
      <c r="I149" s="217"/>
      <c r="J149" s="113">
        <f>(D149+E149)/2</f>
        <v>75389.765</v>
      </c>
    </row>
    <row r="150" spans="1:9" s="8" customFormat="1" ht="37.5">
      <c r="A150" s="50" t="s">
        <v>40</v>
      </c>
      <c r="B150" s="66" t="s">
        <v>129</v>
      </c>
      <c r="C150" s="13" t="s">
        <v>31</v>
      </c>
      <c r="D150" s="180">
        <v>58292.34</v>
      </c>
      <c r="E150" s="180">
        <v>57019.83</v>
      </c>
      <c r="F150" s="104">
        <f t="shared" si="5"/>
        <v>57656.09</v>
      </c>
      <c r="G150" s="104">
        <v>61986.21</v>
      </c>
      <c r="H150" s="203">
        <f t="shared" si="6"/>
        <v>0.07510256071821741</v>
      </c>
      <c r="I150" s="217" t="s">
        <v>359</v>
      </c>
    </row>
    <row r="151" spans="1:9" ht="18.75">
      <c r="A151" s="50" t="s">
        <v>41</v>
      </c>
      <c r="B151" s="66" t="s">
        <v>216</v>
      </c>
      <c r="C151" s="13" t="s">
        <v>31</v>
      </c>
      <c r="D151" s="180">
        <v>5537.77</v>
      </c>
      <c r="E151" s="180">
        <f>SUM(E152:E154)</f>
        <v>6423.29</v>
      </c>
      <c r="F151" s="180">
        <f>(D151+E151)/2</f>
        <v>5980.530000000001</v>
      </c>
      <c r="G151" s="67">
        <f>SUM(G152:G154)</f>
        <v>6912.33</v>
      </c>
      <c r="H151" s="203">
        <f t="shared" si="6"/>
        <v>0.1558055891367487</v>
      </c>
      <c r="I151" s="217"/>
    </row>
    <row r="152" spans="1:9" ht="18" hidden="1">
      <c r="A152" s="50" t="s">
        <v>267</v>
      </c>
      <c r="B152" s="77" t="s">
        <v>218</v>
      </c>
      <c r="C152" s="13"/>
      <c r="D152" s="180"/>
      <c r="E152" s="180">
        <v>3025.2</v>
      </c>
      <c r="F152" s="67"/>
      <c r="G152" s="67">
        <v>3180.31</v>
      </c>
      <c r="H152" s="203"/>
      <c r="I152" s="217"/>
    </row>
    <row r="153" spans="1:9" ht="18" hidden="1">
      <c r="A153" s="50" t="s">
        <v>268</v>
      </c>
      <c r="B153" s="77" t="s">
        <v>217</v>
      </c>
      <c r="C153" s="13"/>
      <c r="D153" s="180"/>
      <c r="E153" s="180">
        <v>1687.5</v>
      </c>
      <c r="F153" s="67"/>
      <c r="G153" s="67">
        <v>1916.21</v>
      </c>
      <c r="H153" s="203"/>
      <c r="I153" s="217"/>
    </row>
    <row r="154" spans="1:9" ht="18" hidden="1">
      <c r="A154" s="50" t="s">
        <v>269</v>
      </c>
      <c r="B154" s="77" t="s">
        <v>231</v>
      </c>
      <c r="C154" s="13"/>
      <c r="D154" s="180"/>
      <c r="E154" s="180">
        <v>1710.59</v>
      </c>
      <c r="F154" s="67"/>
      <c r="G154" s="67">
        <v>1815.81</v>
      </c>
      <c r="H154" s="203"/>
      <c r="I154" s="217"/>
    </row>
    <row r="155" spans="1:9" s="2" customFormat="1" ht="18.75">
      <c r="A155" s="50" t="s">
        <v>42</v>
      </c>
      <c r="B155" s="219" t="s">
        <v>237</v>
      </c>
      <c r="C155" s="13"/>
      <c r="D155" s="180"/>
      <c r="E155" s="180">
        <v>1221.01</v>
      </c>
      <c r="F155" s="67">
        <f t="shared" si="5"/>
        <v>610.51</v>
      </c>
      <c r="G155" s="67">
        <v>610.51</v>
      </c>
      <c r="H155" s="203">
        <f t="shared" si="6"/>
        <v>0</v>
      </c>
      <c r="I155" s="87"/>
    </row>
    <row r="156" spans="1:9" s="2" customFormat="1" ht="18.75">
      <c r="A156" s="50" t="s">
        <v>43</v>
      </c>
      <c r="B156" s="219" t="s">
        <v>130</v>
      </c>
      <c r="C156" s="13" t="s">
        <v>31</v>
      </c>
      <c r="D156" s="180"/>
      <c r="E156" s="180">
        <v>20.1</v>
      </c>
      <c r="F156" s="67">
        <f t="shared" si="5"/>
        <v>10.05</v>
      </c>
      <c r="G156" s="67">
        <v>10.05</v>
      </c>
      <c r="H156" s="203">
        <f t="shared" si="6"/>
        <v>0</v>
      </c>
      <c r="I156" s="87"/>
    </row>
    <row r="157" spans="1:9" s="2" customFormat="1" ht="18.75">
      <c r="A157" s="50" t="s">
        <v>44</v>
      </c>
      <c r="B157" s="66" t="s">
        <v>126</v>
      </c>
      <c r="C157" s="13" t="s">
        <v>31</v>
      </c>
      <c r="D157" s="180">
        <v>341.72</v>
      </c>
      <c r="E157" s="180">
        <v>355.63</v>
      </c>
      <c r="F157" s="67">
        <f t="shared" si="5"/>
        <v>348.68</v>
      </c>
      <c r="G157" s="67">
        <v>333.11</v>
      </c>
      <c r="H157" s="203">
        <f t="shared" si="6"/>
        <v>-0.044654124125272476</v>
      </c>
      <c r="I157" s="87" t="s">
        <v>351</v>
      </c>
    </row>
    <row r="158" spans="1:9" s="2" customFormat="1" ht="18.75">
      <c r="A158" s="50" t="s">
        <v>45</v>
      </c>
      <c r="B158" s="66" t="s">
        <v>127</v>
      </c>
      <c r="C158" s="13" t="s">
        <v>31</v>
      </c>
      <c r="D158" s="180">
        <v>485.01</v>
      </c>
      <c r="E158" s="180">
        <v>312.59</v>
      </c>
      <c r="F158" s="67">
        <f t="shared" si="5"/>
        <v>398.8</v>
      </c>
      <c r="G158" s="67">
        <v>535.46</v>
      </c>
      <c r="H158" s="203">
        <f t="shared" si="6"/>
        <v>0.342678034102307</v>
      </c>
      <c r="I158" s="87" t="s">
        <v>344</v>
      </c>
    </row>
    <row r="159" spans="1:9" ht="24.75" customHeight="1">
      <c r="A159" s="50" t="s">
        <v>11</v>
      </c>
      <c r="B159" s="66" t="s">
        <v>131</v>
      </c>
      <c r="C159" s="13" t="s">
        <v>31</v>
      </c>
      <c r="D159" s="180">
        <v>1111.46</v>
      </c>
      <c r="E159" s="180">
        <v>2218.63</v>
      </c>
      <c r="F159" s="67">
        <f t="shared" si="5"/>
        <v>1665.05</v>
      </c>
      <c r="G159" s="67">
        <v>996.2</v>
      </c>
      <c r="H159" s="203">
        <f t="shared" si="6"/>
        <v>-0.4016996486591994</v>
      </c>
      <c r="I159" s="217" t="s">
        <v>349</v>
      </c>
    </row>
    <row r="160" spans="1:9" ht="18.75">
      <c r="A160" s="225" t="s">
        <v>14</v>
      </c>
      <c r="B160" s="226" t="s">
        <v>12</v>
      </c>
      <c r="C160" s="12" t="s">
        <v>31</v>
      </c>
      <c r="D160" s="181">
        <f>SUM(D161:D169)</f>
        <v>3686.7599999999998</v>
      </c>
      <c r="E160" s="181">
        <f>SUM(E161:E170)</f>
        <v>13753.38</v>
      </c>
      <c r="F160" s="181">
        <f>SUM(F161:F170)</f>
        <v>8720.09</v>
      </c>
      <c r="G160" s="104">
        <f>SUM(G161:G170)</f>
        <v>22485.13</v>
      </c>
      <c r="H160" s="227">
        <f t="shared" si="6"/>
        <v>1.5785433407224008</v>
      </c>
      <c r="I160" s="228"/>
    </row>
    <row r="161" spans="1:9" ht="18.75">
      <c r="A161" s="92" t="s">
        <v>189</v>
      </c>
      <c r="B161" s="77" t="s">
        <v>178</v>
      </c>
      <c r="C161" s="93" t="s">
        <v>31</v>
      </c>
      <c r="D161" s="180">
        <v>1360.89</v>
      </c>
      <c r="E161" s="180">
        <v>1366.09</v>
      </c>
      <c r="F161" s="67">
        <f t="shared" si="5"/>
        <v>1363.49</v>
      </c>
      <c r="G161" s="67">
        <v>2044.76</v>
      </c>
      <c r="H161" s="203">
        <f t="shared" si="6"/>
        <v>0.4996516292748754</v>
      </c>
      <c r="I161" s="217" t="s">
        <v>344</v>
      </c>
    </row>
    <row r="162" spans="1:9" ht="18.75">
      <c r="A162" s="92" t="s">
        <v>190</v>
      </c>
      <c r="B162" s="77" t="s">
        <v>146</v>
      </c>
      <c r="C162" s="93" t="s">
        <v>31</v>
      </c>
      <c r="D162" s="180">
        <v>213.69</v>
      </c>
      <c r="E162" s="180">
        <v>173.49</v>
      </c>
      <c r="F162" s="67">
        <f t="shared" si="5"/>
        <v>193.59</v>
      </c>
      <c r="G162" s="67">
        <v>313.78</v>
      </c>
      <c r="H162" s="203">
        <f t="shared" si="6"/>
        <v>0.6208481843070406</v>
      </c>
      <c r="I162" s="217" t="s">
        <v>344</v>
      </c>
    </row>
    <row r="163" spans="1:9" ht="18.75">
      <c r="A163" s="92" t="s">
        <v>191</v>
      </c>
      <c r="B163" s="77" t="s">
        <v>179</v>
      </c>
      <c r="C163" s="93" t="s">
        <v>31</v>
      </c>
      <c r="D163" s="180">
        <v>1297.79</v>
      </c>
      <c r="E163" s="180">
        <v>955.03</v>
      </c>
      <c r="F163" s="67">
        <f t="shared" si="5"/>
        <v>1126.41</v>
      </c>
      <c r="G163" s="67">
        <v>1221.52</v>
      </c>
      <c r="H163" s="203">
        <f t="shared" si="6"/>
        <v>0.08443639527347946</v>
      </c>
      <c r="I163" s="217" t="s">
        <v>360</v>
      </c>
    </row>
    <row r="164" spans="1:9" ht="18" hidden="1">
      <c r="A164" s="92" t="s">
        <v>192</v>
      </c>
      <c r="B164" s="77" t="s">
        <v>180</v>
      </c>
      <c r="C164" s="93" t="s">
        <v>31</v>
      </c>
      <c r="D164" s="180"/>
      <c r="E164" s="180">
        <v>0</v>
      </c>
      <c r="F164" s="67">
        <f t="shared" si="5"/>
        <v>0</v>
      </c>
      <c r="G164" s="67"/>
      <c r="H164" s="203"/>
      <c r="I164" s="217"/>
    </row>
    <row r="165" spans="1:9" ht="18.75">
      <c r="A165" s="92" t="s">
        <v>193</v>
      </c>
      <c r="B165" s="77" t="s">
        <v>176</v>
      </c>
      <c r="C165" s="93" t="s">
        <v>31</v>
      </c>
      <c r="D165" s="180">
        <v>8.21</v>
      </c>
      <c r="E165" s="180">
        <v>18.11</v>
      </c>
      <c r="F165" s="67">
        <f t="shared" si="5"/>
        <v>13.16</v>
      </c>
      <c r="G165" s="67">
        <v>265.36</v>
      </c>
      <c r="H165" s="203">
        <f t="shared" si="6"/>
        <v>19.164133738601823</v>
      </c>
      <c r="I165" s="217" t="s">
        <v>373</v>
      </c>
    </row>
    <row r="166" spans="1:9" ht="37.5">
      <c r="A166" s="92" t="s">
        <v>194</v>
      </c>
      <c r="B166" s="77" t="s">
        <v>152</v>
      </c>
      <c r="C166" s="93" t="s">
        <v>31</v>
      </c>
      <c r="D166" s="180">
        <v>136.14</v>
      </c>
      <c r="E166" s="180">
        <v>193.25</v>
      </c>
      <c r="F166" s="67">
        <f t="shared" si="5"/>
        <v>164.7</v>
      </c>
      <c r="G166" s="67">
        <v>142.71</v>
      </c>
      <c r="H166" s="203">
        <f t="shared" si="6"/>
        <v>-0.13351548269581048</v>
      </c>
      <c r="I166" s="217" t="s">
        <v>349</v>
      </c>
    </row>
    <row r="167" spans="1:9" ht="37.5">
      <c r="A167" s="92"/>
      <c r="B167" s="77" t="s">
        <v>154</v>
      </c>
      <c r="C167" s="93" t="s">
        <v>31</v>
      </c>
      <c r="D167" s="180">
        <v>68.79</v>
      </c>
      <c r="E167" s="180"/>
      <c r="F167" s="67">
        <f t="shared" si="5"/>
        <v>34.4</v>
      </c>
      <c r="G167" s="67"/>
      <c r="H167" s="203">
        <f t="shared" si="6"/>
        <v>-1</v>
      </c>
      <c r="I167" s="217" t="s">
        <v>349</v>
      </c>
    </row>
    <row r="168" spans="1:9" ht="37.5">
      <c r="A168" s="92"/>
      <c r="B168" s="77" t="s">
        <v>330</v>
      </c>
      <c r="C168" s="93" t="s">
        <v>31</v>
      </c>
      <c r="D168" s="180">
        <v>46.25</v>
      </c>
      <c r="E168" s="180"/>
      <c r="F168" s="67">
        <f t="shared" si="5"/>
        <v>23.13</v>
      </c>
      <c r="G168" s="67"/>
      <c r="H168" s="203">
        <f t="shared" si="6"/>
        <v>-1</v>
      </c>
      <c r="I168" s="217" t="s">
        <v>349</v>
      </c>
    </row>
    <row r="169" spans="1:9" ht="18.75">
      <c r="A169" s="92" t="s">
        <v>204</v>
      </c>
      <c r="B169" s="77" t="s">
        <v>171</v>
      </c>
      <c r="C169" s="93" t="s">
        <v>31</v>
      </c>
      <c r="D169" s="180">
        <v>555</v>
      </c>
      <c r="E169" s="180"/>
      <c r="F169" s="236">
        <f>ROUND((D169+E170)/2,2)</f>
        <v>5801.21</v>
      </c>
      <c r="G169" s="236">
        <v>18497</v>
      </c>
      <c r="H169" s="238">
        <f t="shared" si="6"/>
        <v>2.188472749650504</v>
      </c>
      <c r="I169" s="242" t="s">
        <v>361</v>
      </c>
    </row>
    <row r="170" spans="1:9" ht="18.75">
      <c r="A170" s="92"/>
      <c r="B170" s="77" t="s">
        <v>338</v>
      </c>
      <c r="C170" s="93"/>
      <c r="D170" s="180"/>
      <c r="E170" s="180">
        <v>11047.41</v>
      </c>
      <c r="F170" s="237"/>
      <c r="G170" s="237"/>
      <c r="H170" s="239" t="e">
        <f t="shared" si="6"/>
        <v>#DIV/0!</v>
      </c>
      <c r="I170" s="243"/>
    </row>
    <row r="171" spans="1:10" ht="18.75">
      <c r="A171" s="78" t="s">
        <v>16</v>
      </c>
      <c r="B171" s="79" t="s">
        <v>23</v>
      </c>
      <c r="C171" s="57" t="s">
        <v>31</v>
      </c>
      <c r="D171" s="144">
        <f>D100+D7+0.01</f>
        <v>1717418.5599999998</v>
      </c>
      <c r="E171" s="144">
        <f>E100+E7+0.01</f>
        <v>2506472.81635625</v>
      </c>
      <c r="F171" s="144">
        <f>F100+F7</f>
        <v>2111945.91</v>
      </c>
      <c r="G171" s="144">
        <f>G100+G7</f>
        <v>2525139.1900000004</v>
      </c>
      <c r="H171" s="204">
        <f t="shared" si="6"/>
        <v>0.1956457682195092</v>
      </c>
      <c r="I171" s="217"/>
      <c r="J171" s="113">
        <f>(D171+E171)/2</f>
        <v>2111945.688178125</v>
      </c>
    </row>
    <row r="172" spans="1:9" ht="18.75">
      <c r="A172" s="78" t="s">
        <v>17</v>
      </c>
      <c r="B172" s="79" t="s">
        <v>111</v>
      </c>
      <c r="C172" s="57" t="s">
        <v>31</v>
      </c>
      <c r="D172" s="144">
        <v>0</v>
      </c>
      <c r="E172" s="180">
        <v>0</v>
      </c>
      <c r="F172" s="67"/>
      <c r="G172" s="61">
        <f>G173-G171</f>
        <v>-314688.88000000035</v>
      </c>
      <c r="H172" s="203"/>
      <c r="I172" s="217"/>
    </row>
    <row r="173" spans="1:9" s="6" customFormat="1" ht="18.75">
      <c r="A173" s="78" t="s">
        <v>19</v>
      </c>
      <c r="B173" s="79" t="s">
        <v>91</v>
      </c>
      <c r="C173" s="59" t="s">
        <v>31</v>
      </c>
      <c r="D173" s="144">
        <f>D175+D174</f>
        <v>1717418.56</v>
      </c>
      <c r="E173" s="144">
        <f>E175+E174</f>
        <v>2506472.8200000003</v>
      </c>
      <c r="F173" s="61">
        <f>F174+F175</f>
        <v>2111945.91</v>
      </c>
      <c r="G173" s="61">
        <v>2210450.31</v>
      </c>
      <c r="H173" s="203"/>
      <c r="I173" s="217"/>
    </row>
    <row r="174" spans="1:9" s="6" customFormat="1" ht="44.25" customHeight="1">
      <c r="A174" s="78"/>
      <c r="B174" s="91" t="s">
        <v>274</v>
      </c>
      <c r="C174" s="59" t="s">
        <v>31</v>
      </c>
      <c r="D174" s="144"/>
      <c r="E174" s="180">
        <v>869.58</v>
      </c>
      <c r="F174" s="67">
        <f>ROUND((D174+E174)/2,2)</f>
        <v>434.79</v>
      </c>
      <c r="G174" s="61"/>
      <c r="H174" s="203"/>
      <c r="I174" s="217"/>
    </row>
    <row r="175" spans="1:9" s="6" customFormat="1" ht="37.5">
      <c r="A175" s="78"/>
      <c r="B175" s="91" t="s">
        <v>275</v>
      </c>
      <c r="C175" s="59" t="s">
        <v>31</v>
      </c>
      <c r="D175" s="144">
        <v>1717418.56</v>
      </c>
      <c r="E175" s="144">
        <v>2505603.24</v>
      </c>
      <c r="F175" s="61">
        <f>F171-F174</f>
        <v>2111511.12</v>
      </c>
      <c r="G175" s="61">
        <f>G173</f>
        <v>2210450.31</v>
      </c>
      <c r="H175" s="204">
        <f>G175/F175-1</f>
        <v>0.04685705372936888</v>
      </c>
      <c r="I175" s="217"/>
    </row>
    <row r="176" spans="1:9" s="6" customFormat="1" ht="168" customHeight="1">
      <c r="A176" s="78"/>
      <c r="B176" s="81" t="s">
        <v>212</v>
      </c>
      <c r="C176" s="59" t="s">
        <v>31</v>
      </c>
      <c r="D176" s="144"/>
      <c r="E176" s="180">
        <v>921829.2882000001</v>
      </c>
      <c r="F176" s="61"/>
      <c r="G176" s="61"/>
      <c r="H176" s="61"/>
      <c r="I176" s="217"/>
    </row>
    <row r="177" spans="1:9" s="6" customFormat="1" ht="18.75">
      <c r="A177" s="78"/>
      <c r="B177" s="81" t="s">
        <v>271</v>
      </c>
      <c r="C177" s="59" t="s">
        <v>31</v>
      </c>
      <c r="D177" s="144"/>
      <c r="E177" s="180">
        <v>820573.1658</v>
      </c>
      <c r="F177" s="61"/>
      <c r="G177" s="61"/>
      <c r="H177" s="61"/>
      <c r="I177" s="217"/>
    </row>
    <row r="178" spans="1:9" s="6" customFormat="1" ht="18.75">
      <c r="A178" s="78"/>
      <c r="B178" s="81" t="s">
        <v>272</v>
      </c>
      <c r="C178" s="59" t="s">
        <v>31</v>
      </c>
      <c r="D178" s="144"/>
      <c r="E178" s="180">
        <v>763200.7814999999</v>
      </c>
      <c r="F178" s="61"/>
      <c r="G178" s="61"/>
      <c r="H178" s="61"/>
      <c r="I178" s="217"/>
    </row>
    <row r="179" spans="1:9" s="5" customFormat="1" ht="18.75">
      <c r="A179" s="50"/>
      <c r="B179" s="79" t="s">
        <v>92</v>
      </c>
      <c r="C179" s="13" t="s">
        <v>36</v>
      </c>
      <c r="D179" s="180">
        <v>32492.15</v>
      </c>
      <c r="E179" s="180">
        <v>36937.93</v>
      </c>
      <c r="F179" s="67">
        <f>ROUND((D179+E179)/2,2)-419.66</f>
        <v>34295.38</v>
      </c>
      <c r="G179" s="67">
        <v>36746.46</v>
      </c>
      <c r="H179" s="204">
        <f>G179/F179-1</f>
        <v>0.07146968483801608</v>
      </c>
      <c r="I179" s="87"/>
    </row>
    <row r="180" spans="1:9" s="5" customFormat="1" ht="18.75">
      <c r="A180" s="50"/>
      <c r="B180" s="79" t="s">
        <v>273</v>
      </c>
      <c r="C180" s="13" t="s">
        <v>36</v>
      </c>
      <c r="D180" s="182">
        <f>D179-D181-D188</f>
        <v>3911.4799999999977</v>
      </c>
      <c r="E180" s="180">
        <v>5719.82</v>
      </c>
      <c r="F180" s="67"/>
      <c r="G180" s="67">
        <f>G179-G181-G188</f>
        <v>5481.219999999998</v>
      </c>
      <c r="H180" s="61"/>
      <c r="I180" s="87"/>
    </row>
    <row r="181" spans="1:9" ht="37.5">
      <c r="A181" s="55" t="s">
        <v>15</v>
      </c>
      <c r="B181" s="79" t="s">
        <v>20</v>
      </c>
      <c r="C181" s="57" t="s">
        <v>36</v>
      </c>
      <c r="D181" s="144">
        <f>SUM(D182:D186)</f>
        <v>23096.000000000004</v>
      </c>
      <c r="E181" s="144">
        <v>24916.5</v>
      </c>
      <c r="F181" s="61">
        <f>ROUND((D181+E181)/2,2)</f>
        <v>24006.25</v>
      </c>
      <c r="G181" s="61">
        <v>24982.93</v>
      </c>
      <c r="H181" s="204">
        <f aca="true" t="shared" si="7" ref="H181:H186">G181/F181-1</f>
        <v>0.040684405102837884</v>
      </c>
      <c r="I181" s="217" t="s">
        <v>368</v>
      </c>
    </row>
    <row r="182" spans="1:9" ht="18.75">
      <c r="A182" s="55"/>
      <c r="B182" s="81" t="s">
        <v>332</v>
      </c>
      <c r="C182" s="13" t="s">
        <v>36</v>
      </c>
      <c r="D182" s="180">
        <v>13978.87</v>
      </c>
      <c r="E182" s="180"/>
      <c r="F182" s="67">
        <f>ROUND(D182/2,2)</f>
        <v>6989.44</v>
      </c>
      <c r="G182" s="67">
        <v>7100.85</v>
      </c>
      <c r="H182" s="204">
        <f t="shared" si="7"/>
        <v>0.01593976055306312</v>
      </c>
      <c r="I182" s="217"/>
    </row>
    <row r="183" spans="1:9" ht="40.5" customHeight="1">
      <c r="A183" s="55"/>
      <c r="B183" s="81" t="s">
        <v>333</v>
      </c>
      <c r="C183" s="13" t="s">
        <v>36</v>
      </c>
      <c r="D183" s="180">
        <v>4371.43</v>
      </c>
      <c r="E183" s="180"/>
      <c r="F183" s="67">
        <f>ROUND(D183/2,2)</f>
        <v>2185.72</v>
      </c>
      <c r="G183" s="67">
        <v>2507.88</v>
      </c>
      <c r="H183" s="204">
        <f t="shared" si="7"/>
        <v>0.14739307871090546</v>
      </c>
      <c r="I183" s="217"/>
    </row>
    <row r="184" spans="1:9" ht="168.75" customHeight="1">
      <c r="A184" s="50"/>
      <c r="B184" s="81" t="s">
        <v>212</v>
      </c>
      <c r="C184" s="13" t="s">
        <v>36</v>
      </c>
      <c r="D184" s="180"/>
      <c r="E184" s="180">
        <v>19879.86</v>
      </c>
      <c r="F184" s="67">
        <f>ROUND(E184/2,2)</f>
        <v>9939.93</v>
      </c>
      <c r="G184" s="67">
        <f>7292.15+3004.27</f>
        <v>10296.42</v>
      </c>
      <c r="H184" s="204">
        <f t="shared" si="7"/>
        <v>0.03586443767712644</v>
      </c>
      <c r="I184" s="217"/>
    </row>
    <row r="185" spans="1:9" ht="18.75">
      <c r="A185" s="50"/>
      <c r="B185" s="81" t="s">
        <v>271</v>
      </c>
      <c r="C185" s="13" t="s">
        <v>36</v>
      </c>
      <c r="D185" s="180">
        <v>4745.7</v>
      </c>
      <c r="E185" s="180">
        <v>4264.49</v>
      </c>
      <c r="F185" s="67">
        <f>ROUND((D185+E185)/2,2)</f>
        <v>4505.1</v>
      </c>
      <c r="G185" s="67">
        <f>448.05+2063.83+2150.76</f>
        <v>4662.64</v>
      </c>
      <c r="H185" s="204">
        <f t="shared" si="7"/>
        <v>0.034969257064216164</v>
      </c>
      <c r="I185" s="217"/>
    </row>
    <row r="186" spans="1:9" ht="18.75">
      <c r="A186" s="50"/>
      <c r="B186" s="81" t="s">
        <v>272</v>
      </c>
      <c r="C186" s="13" t="s">
        <v>36</v>
      </c>
      <c r="D186" s="180"/>
      <c r="E186" s="180">
        <v>772.15</v>
      </c>
      <c r="F186" s="67">
        <f>ROUND(E186/2,2)</f>
        <v>386.08</v>
      </c>
      <c r="G186" s="67">
        <v>415.14</v>
      </c>
      <c r="H186" s="204">
        <f t="shared" si="7"/>
        <v>0.07526937422295887</v>
      </c>
      <c r="I186" s="217"/>
    </row>
    <row r="187" spans="1:9" ht="18.75">
      <c r="A187" s="55" t="s">
        <v>15</v>
      </c>
      <c r="B187" s="79" t="s">
        <v>136</v>
      </c>
      <c r="C187" s="57" t="s">
        <v>18</v>
      </c>
      <c r="D187" s="183">
        <v>0.1688</v>
      </c>
      <c r="E187" s="233">
        <v>0.1706</v>
      </c>
      <c r="F187" s="224">
        <f>F188/F179</f>
        <v>0.16960622684454876</v>
      </c>
      <c r="G187" s="224">
        <f>G188/G179</f>
        <v>0.17096367922243397</v>
      </c>
      <c r="H187" s="224">
        <f>G187-F187</f>
        <v>0.0013574523778852043</v>
      </c>
      <c r="I187" s="217" t="s">
        <v>362</v>
      </c>
    </row>
    <row r="188" spans="1:10" s="42" customFormat="1" ht="18.75">
      <c r="A188" s="82"/>
      <c r="B188" s="83" t="s">
        <v>24</v>
      </c>
      <c r="C188" s="70" t="s">
        <v>36</v>
      </c>
      <c r="D188" s="180">
        <v>5484.67</v>
      </c>
      <c r="E188" s="180">
        <v>6301.610858</v>
      </c>
      <c r="F188" s="67">
        <f>ROUND((D188+E188)/2,2)-76.43</f>
        <v>5816.71</v>
      </c>
      <c r="G188" s="67">
        <v>6282.31</v>
      </c>
      <c r="H188" s="67">
        <f>H187*G179</f>
        <v>49.881569505863546</v>
      </c>
      <c r="I188" s="217"/>
      <c r="J188" s="206">
        <f>G188-F188</f>
        <v>465.60000000000036</v>
      </c>
    </row>
    <row r="189" spans="1:9" s="6" customFormat="1" ht="18.75">
      <c r="A189" s="78" t="s">
        <v>25</v>
      </c>
      <c r="B189" s="79" t="s">
        <v>181</v>
      </c>
      <c r="C189" s="57" t="s">
        <v>26</v>
      </c>
      <c r="D189" s="144">
        <v>74.36</v>
      </c>
      <c r="E189" s="144">
        <v>100.56</v>
      </c>
      <c r="F189" s="61">
        <f>F175/F181</f>
        <v>87.95672460296798</v>
      </c>
      <c r="G189" s="61">
        <f>G175/G181</f>
        <v>88.47842546891017</v>
      </c>
      <c r="H189" s="61"/>
      <c r="I189" s="217"/>
    </row>
    <row r="190" spans="1:9" s="6" customFormat="1" ht="18.75">
      <c r="A190" s="78"/>
      <c r="B190" s="81" t="s">
        <v>332</v>
      </c>
      <c r="C190" s="57"/>
      <c r="D190" s="180">
        <v>44.86</v>
      </c>
      <c r="E190" s="180"/>
      <c r="F190" s="61"/>
      <c r="G190" s="61"/>
      <c r="H190" s="61"/>
      <c r="I190" s="217"/>
    </row>
    <row r="191" spans="1:9" s="6" customFormat="1" ht="36.75" customHeight="1">
      <c r="A191" s="78"/>
      <c r="B191" s="81" t="s">
        <v>333</v>
      </c>
      <c r="C191" s="57"/>
      <c r="D191" s="180">
        <v>87.74</v>
      </c>
      <c r="E191" s="180"/>
      <c r="F191" s="61"/>
      <c r="G191" s="61"/>
      <c r="H191" s="61"/>
      <c r="I191" s="217"/>
    </row>
    <row r="192" spans="1:9" ht="162" customHeight="1">
      <c r="A192" s="50"/>
      <c r="B192" s="81" t="s">
        <v>212</v>
      </c>
      <c r="C192" s="57" t="s">
        <v>26</v>
      </c>
      <c r="D192" s="184"/>
      <c r="E192" s="180">
        <v>46.37</v>
      </c>
      <c r="F192" s="67"/>
      <c r="G192" s="67"/>
      <c r="H192" s="67"/>
      <c r="I192" s="217"/>
    </row>
    <row r="193" spans="1:9" s="6" customFormat="1" ht="18.75" customHeight="1">
      <c r="A193" s="85"/>
      <c r="B193" s="81" t="s">
        <v>85</v>
      </c>
      <c r="C193" s="57" t="s">
        <v>26</v>
      </c>
      <c r="D193" s="184">
        <v>148.93</v>
      </c>
      <c r="E193" s="180">
        <v>192.42</v>
      </c>
      <c r="F193" s="61"/>
      <c r="G193" s="61"/>
      <c r="H193" s="61"/>
      <c r="I193" s="217"/>
    </row>
    <row r="194" spans="1:9" s="6" customFormat="1" ht="18.75">
      <c r="A194" s="85"/>
      <c r="B194" s="81" t="s">
        <v>213</v>
      </c>
      <c r="C194" s="57" t="s">
        <v>26</v>
      </c>
      <c r="D194" s="184"/>
      <c r="E194" s="180">
        <v>988.41</v>
      </c>
      <c r="F194" s="61"/>
      <c r="G194" s="61"/>
      <c r="H194" s="61"/>
      <c r="I194" s="217"/>
    </row>
    <row r="195" spans="1:9" s="6" customFormat="1" ht="18.75">
      <c r="A195" s="234"/>
      <c r="B195" s="235"/>
      <c r="C195" s="235"/>
      <c r="D195" s="235"/>
      <c r="E195" s="209"/>
      <c r="F195" s="210"/>
      <c r="G195" s="210"/>
      <c r="H195" s="220"/>
      <c r="I195" s="208"/>
    </row>
    <row r="196" spans="1:9" s="6" customFormat="1" ht="18.75" customHeight="1">
      <c r="A196" s="211"/>
      <c r="B196" s="212" t="s">
        <v>75</v>
      </c>
      <c r="C196" s="213"/>
      <c r="D196" s="214"/>
      <c r="E196" s="215"/>
      <c r="F196" s="216"/>
      <c r="G196" s="216"/>
      <c r="H196" s="99"/>
      <c r="I196" s="127"/>
    </row>
    <row r="197" spans="1:9" s="6" customFormat="1" ht="18.75" customHeight="1">
      <c r="A197" s="51" t="s">
        <v>76</v>
      </c>
      <c r="B197" s="47" t="s">
        <v>77</v>
      </c>
      <c r="C197" s="57" t="s">
        <v>78</v>
      </c>
      <c r="D197" s="185">
        <f>SUM(D199:D202)</f>
        <v>488.8</v>
      </c>
      <c r="E197" s="185">
        <f>SUM(E199:E202)</f>
        <v>475.3</v>
      </c>
      <c r="F197" s="185">
        <f>SUM(F199:F202)</f>
        <v>482.04999999999995</v>
      </c>
      <c r="G197" s="201">
        <v>397</v>
      </c>
      <c r="H197" s="207"/>
      <c r="I197" s="127"/>
    </row>
    <row r="198" spans="1:9" s="6" customFormat="1" ht="18.75" customHeight="1">
      <c r="A198" s="47"/>
      <c r="B198" s="21" t="s">
        <v>80</v>
      </c>
      <c r="C198" s="13"/>
      <c r="D198" s="186"/>
      <c r="E198" s="193"/>
      <c r="F198" s="191"/>
      <c r="G198" s="191"/>
      <c r="H198" s="207"/>
      <c r="I198" s="127"/>
    </row>
    <row r="199" spans="1:9" s="6" customFormat="1" ht="27.75" customHeight="1">
      <c r="A199" s="51" t="s">
        <v>79</v>
      </c>
      <c r="B199" s="33" t="s">
        <v>82</v>
      </c>
      <c r="C199" s="13" t="s">
        <v>78</v>
      </c>
      <c r="D199" s="186">
        <v>419.2</v>
      </c>
      <c r="E199" s="195">
        <v>398.6</v>
      </c>
      <c r="F199" s="67">
        <f>ROUND((D199+E199)/2,2)</f>
        <v>408.9</v>
      </c>
      <c r="G199" s="67">
        <f>G197-G200-G201-G202</f>
        <v>333.5</v>
      </c>
      <c r="H199" s="207"/>
      <c r="I199" s="127"/>
    </row>
    <row r="200" spans="1:9" s="6" customFormat="1" ht="30.75" customHeight="1">
      <c r="A200" s="51" t="s">
        <v>81</v>
      </c>
      <c r="B200" s="33" t="s">
        <v>64</v>
      </c>
      <c r="C200" s="13" t="s">
        <v>78</v>
      </c>
      <c r="D200" s="186">
        <v>22.5</v>
      </c>
      <c r="E200" s="195">
        <v>21.5</v>
      </c>
      <c r="F200" s="67">
        <f>ROUND((D200+E200)/2,2)</f>
        <v>22</v>
      </c>
      <c r="G200" s="190">
        <v>22</v>
      </c>
      <c r="H200" s="207"/>
      <c r="I200" s="127"/>
    </row>
    <row r="201" spans="1:9" s="5" customFormat="1" ht="24" customHeight="1">
      <c r="A201" s="51" t="s">
        <v>83</v>
      </c>
      <c r="B201" s="33" t="s">
        <v>66</v>
      </c>
      <c r="C201" s="13" t="s">
        <v>78</v>
      </c>
      <c r="D201" s="186">
        <v>1</v>
      </c>
      <c r="E201" s="195">
        <v>1</v>
      </c>
      <c r="F201" s="67">
        <f>ROUND((D201+E201)/2,2)</f>
        <v>1</v>
      </c>
      <c r="G201" s="67">
        <v>1</v>
      </c>
      <c r="H201" s="207"/>
      <c r="I201" s="20"/>
    </row>
    <row r="202" spans="1:9" s="6" customFormat="1" ht="21.75" customHeight="1">
      <c r="A202" s="51" t="s">
        <v>63</v>
      </c>
      <c r="B202" s="33" t="s">
        <v>68</v>
      </c>
      <c r="C202" s="13" t="s">
        <v>78</v>
      </c>
      <c r="D202" s="186">
        <v>46.1</v>
      </c>
      <c r="E202" s="195">
        <v>54.2</v>
      </c>
      <c r="F202" s="67">
        <f>ROUND((D202+E202)/2,2)</f>
        <v>50.15</v>
      </c>
      <c r="G202" s="190">
        <v>40.5</v>
      </c>
      <c r="H202" s="207"/>
      <c r="I202" s="127"/>
    </row>
    <row r="203" spans="1:9" s="5" customFormat="1" ht="21.75" customHeight="1">
      <c r="A203" s="51" t="s">
        <v>67</v>
      </c>
      <c r="B203" s="47" t="s">
        <v>70</v>
      </c>
      <c r="C203" s="57" t="s">
        <v>71</v>
      </c>
      <c r="D203" s="187">
        <v>114370</v>
      </c>
      <c r="E203" s="187">
        <v>139011</v>
      </c>
      <c r="F203" s="52">
        <f>ROUND((F54+F103+F133+F150)/F197/12*1000,0)</f>
        <v>126518</v>
      </c>
      <c r="G203" s="52">
        <f>ROUND((G54+G103+G133+G150)/G197/12*1000,0)</f>
        <v>169516</v>
      </c>
      <c r="H203" s="207"/>
      <c r="I203" s="20"/>
    </row>
    <row r="204" spans="1:9" ht="18.75" customHeight="1">
      <c r="A204" s="33"/>
      <c r="B204" s="21" t="s">
        <v>80</v>
      </c>
      <c r="C204" s="13"/>
      <c r="D204" s="188"/>
      <c r="E204" s="194"/>
      <c r="F204" s="202"/>
      <c r="G204" s="202"/>
      <c r="H204" s="221"/>
      <c r="I204" s="126"/>
    </row>
    <row r="205" spans="1:9" ht="18.75" customHeight="1">
      <c r="A205" s="51" t="s">
        <v>69</v>
      </c>
      <c r="B205" s="33" t="s">
        <v>82</v>
      </c>
      <c r="C205" s="13" t="s">
        <v>71</v>
      </c>
      <c r="D205" s="189">
        <v>112140</v>
      </c>
      <c r="E205" s="196">
        <v>143628</v>
      </c>
      <c r="F205" s="202">
        <f>ROUND(F54/F199/12*1000,0)</f>
        <v>127487</v>
      </c>
      <c r="G205" s="202">
        <f>ROUND(G54/G199/12*1000,0)</f>
        <v>171134</v>
      </c>
      <c r="H205" s="221"/>
      <c r="I205" s="126"/>
    </row>
    <row r="206" spans="1:9" ht="18.75" customHeight="1">
      <c r="A206" s="51" t="s">
        <v>72</v>
      </c>
      <c r="B206" s="33" t="s">
        <v>64</v>
      </c>
      <c r="C206" s="13" t="s">
        <v>71</v>
      </c>
      <c r="D206" s="189">
        <v>172590</v>
      </c>
      <c r="E206" s="196">
        <v>181698</v>
      </c>
      <c r="F206" s="202">
        <f>ROUND(F103/F200/12*1000,0)</f>
        <v>177040</v>
      </c>
      <c r="G206" s="202">
        <f>ROUND(G103/G200/12*1000,0)</f>
        <v>220021</v>
      </c>
      <c r="H206" s="221"/>
      <c r="I206" s="126"/>
    </row>
    <row r="207" spans="1:9" ht="18.75" customHeight="1">
      <c r="A207" s="51" t="s">
        <v>73</v>
      </c>
      <c r="B207" s="33" t="s">
        <v>66</v>
      </c>
      <c r="C207" s="13" t="s">
        <v>71</v>
      </c>
      <c r="D207" s="189">
        <v>154150</v>
      </c>
      <c r="E207" s="196">
        <v>163784</v>
      </c>
      <c r="F207" s="202">
        <f>ROUND(F133/F201/12*1000,0)</f>
        <v>158968</v>
      </c>
      <c r="G207" s="202">
        <f>ROUND(G133/G201/12*1000,0)</f>
        <v>218499</v>
      </c>
      <c r="H207" s="221"/>
      <c r="I207" s="126"/>
    </row>
    <row r="208" spans="1:9" ht="18.75" customHeight="1">
      <c r="A208" s="51" t="s">
        <v>74</v>
      </c>
      <c r="B208" s="33" t="s">
        <v>68</v>
      </c>
      <c r="C208" s="13" t="s">
        <v>71</v>
      </c>
      <c r="D208" s="189">
        <v>105373</v>
      </c>
      <c r="E208" s="196">
        <v>87669</v>
      </c>
      <c r="F208" s="202">
        <f>ROUND(F150/F202/12*1000,0)</f>
        <v>95806</v>
      </c>
      <c r="G208" s="202">
        <f>ROUND(G150/G202/12*1000,0)</f>
        <v>127544</v>
      </c>
      <c r="H208" s="221"/>
      <c r="I208" s="126"/>
    </row>
    <row r="209" spans="1:3" ht="18.75" customHeight="1">
      <c r="A209" s="15"/>
      <c r="B209" s="16"/>
      <c r="C209" s="9"/>
    </row>
    <row r="210" spans="1:3" ht="18.75" customHeight="1">
      <c r="A210" s="15"/>
      <c r="B210" s="16"/>
      <c r="C210" s="9"/>
    </row>
    <row r="211" spans="1:3" ht="18.75" customHeight="1">
      <c r="A211" s="15"/>
      <c r="B211" s="16"/>
      <c r="C211" s="9"/>
    </row>
    <row r="212" spans="1:3" ht="18.75" customHeight="1">
      <c r="A212" s="15"/>
      <c r="B212" s="44" t="s">
        <v>317</v>
      </c>
      <c r="C212" s="9"/>
    </row>
    <row r="213" spans="1:2" ht="18.75" customHeight="1">
      <c r="A213" s="18"/>
      <c r="B213" s="16"/>
    </row>
    <row r="214" spans="1:8" s="46" customFormat="1" ht="18.75" customHeight="1" hidden="1">
      <c r="A214" s="24"/>
      <c r="B214" s="44" t="s">
        <v>138</v>
      </c>
      <c r="C214" s="25"/>
      <c r="D214" s="45"/>
      <c r="H214" s="222"/>
    </row>
    <row r="215" spans="1:8" s="6" customFormat="1" ht="18.75" customHeight="1">
      <c r="A215" s="31"/>
      <c r="B215" s="32"/>
      <c r="C215" s="11"/>
      <c r="D215" s="20"/>
      <c r="H215" s="5"/>
    </row>
    <row r="216" spans="1:3" ht="18.75" customHeight="1">
      <c r="A216" s="18"/>
      <c r="B216" s="16"/>
      <c r="C216" s="9"/>
    </row>
    <row r="217" spans="1:4" ht="18.75" customHeight="1" hidden="1">
      <c r="A217" s="18"/>
      <c r="B217" s="16"/>
      <c r="C217" s="12" t="s">
        <v>114</v>
      </c>
      <c r="D217" s="33"/>
    </row>
    <row r="218" spans="1:4" ht="18.75" customHeight="1" hidden="1">
      <c r="A218" s="22"/>
      <c r="B218" s="16"/>
      <c r="C218" s="13" t="s">
        <v>112</v>
      </c>
      <c r="D218" s="49">
        <f>D59+D113+D114+D156+D138</f>
        <v>55268.68</v>
      </c>
    </row>
    <row r="219" spans="1:4" ht="18.75" customHeight="1" hidden="1">
      <c r="A219" s="19"/>
      <c r="B219" s="16"/>
      <c r="C219" s="13" t="s">
        <v>113</v>
      </c>
      <c r="D219" s="33"/>
    </row>
    <row r="220" spans="1:2" ht="18.75" customHeight="1" hidden="1">
      <c r="A220" s="19"/>
      <c r="B220" s="16"/>
    </row>
    <row r="221" ht="18.75" customHeight="1" hidden="1">
      <c r="A221" s="19"/>
    </row>
    <row r="222" spans="1:4" ht="18.75" customHeight="1">
      <c r="A222" s="19"/>
      <c r="B222" s="30" t="s">
        <v>363</v>
      </c>
      <c r="C222" s="11"/>
      <c r="D222" s="101"/>
    </row>
    <row r="223" ht="18.75" customHeight="1">
      <c r="A223" s="19"/>
    </row>
    <row r="224" ht="18.75" customHeight="1">
      <c r="A224" s="19"/>
    </row>
    <row r="238" ht="18.75" customHeight="1">
      <c r="B238" s="14"/>
    </row>
    <row r="239" ht="18.75" customHeight="1">
      <c r="B239" s="20"/>
    </row>
    <row r="240" ht="18.75" customHeight="1">
      <c r="B240" s="20"/>
    </row>
    <row r="242" ht="18.75" customHeight="1">
      <c r="C242" s="34"/>
    </row>
    <row r="243" ht="18.75" customHeight="1">
      <c r="C243" s="34"/>
    </row>
    <row r="244" spans="2:3" ht="18.75" customHeight="1">
      <c r="B244" s="20"/>
      <c r="C244" s="34"/>
    </row>
    <row r="246" ht="18.75" customHeight="1">
      <c r="C246" s="35"/>
    </row>
    <row r="247" ht="18.75" customHeight="1">
      <c r="B247" s="17"/>
    </row>
    <row r="249" ht="18.75" customHeight="1">
      <c r="C249" s="35"/>
    </row>
    <row r="250" ht="18.75" customHeight="1">
      <c r="C250" s="34"/>
    </row>
    <row r="251" ht="18.75" customHeight="1">
      <c r="C251" s="34"/>
    </row>
    <row r="252" spans="2:3" ht="18.75" customHeight="1">
      <c r="B252" s="20"/>
      <c r="C252" s="34"/>
    </row>
    <row r="254" ht="18.75" customHeight="1">
      <c r="B254" s="36"/>
    </row>
    <row r="257" ht="18.75" customHeight="1">
      <c r="B257" s="14"/>
    </row>
    <row r="258" ht="18.75" customHeight="1">
      <c r="B258" s="20"/>
    </row>
    <row r="259" ht="18.75" customHeight="1">
      <c r="B259" s="20"/>
    </row>
    <row r="261" ht="18.75" customHeight="1">
      <c r="C261" s="34"/>
    </row>
    <row r="262" ht="18.75" customHeight="1">
      <c r="C262" s="34"/>
    </row>
    <row r="263" spans="2:3" ht="18.75" customHeight="1">
      <c r="B263" s="20"/>
      <c r="C263" s="34"/>
    </row>
    <row r="264" ht="18.75" customHeight="1">
      <c r="C264" s="34"/>
    </row>
    <row r="265" ht="18.75" customHeight="1">
      <c r="C265" s="34"/>
    </row>
    <row r="266" ht="18.75" customHeight="1">
      <c r="B266" s="17"/>
    </row>
    <row r="267" spans="2:3" ht="18.75" customHeight="1">
      <c r="B267" s="37"/>
      <c r="C267" s="38"/>
    </row>
    <row r="268" spans="2:3" ht="18.75" customHeight="1">
      <c r="B268" s="14"/>
      <c r="C268" s="38"/>
    </row>
    <row r="269" spans="2:3" ht="18.75" customHeight="1">
      <c r="B269" s="37"/>
      <c r="C269" s="38"/>
    </row>
    <row r="270" spans="2:3" ht="18.75" customHeight="1">
      <c r="B270" s="23"/>
      <c r="C270" s="38"/>
    </row>
    <row r="271" spans="2:3" ht="18.75" customHeight="1">
      <c r="B271" s="23"/>
      <c r="C271" s="38"/>
    </row>
    <row r="272" spans="2:3" ht="18.75" customHeight="1">
      <c r="B272" s="14"/>
      <c r="C272" s="38"/>
    </row>
    <row r="273" spans="2:3" ht="18.75" customHeight="1">
      <c r="B273" s="14"/>
      <c r="C273" s="38"/>
    </row>
    <row r="274" spans="2:3" ht="18.75" customHeight="1">
      <c r="B274" s="14"/>
      <c r="C274" s="39"/>
    </row>
    <row r="275" ht="18.75" customHeight="1">
      <c r="C275" s="34"/>
    </row>
    <row r="276" spans="2:3" ht="18.75" customHeight="1">
      <c r="B276" s="20"/>
      <c r="C276" s="34"/>
    </row>
    <row r="293" ht="18.75" customHeight="1">
      <c r="B293" s="20"/>
    </row>
    <row r="295" spans="1:3" ht="18.75" customHeight="1">
      <c r="A295" s="20"/>
      <c r="B295" s="20"/>
      <c r="C295" s="11"/>
    </row>
    <row r="297" spans="1:3" ht="18.75" customHeight="1">
      <c r="A297" s="20"/>
      <c r="C297" s="11"/>
    </row>
    <row r="301" ht="18.75" customHeight="1">
      <c r="B301" s="20"/>
    </row>
    <row r="303" spans="1:3" ht="18.75" customHeight="1">
      <c r="A303" s="20"/>
      <c r="C303" s="11"/>
    </row>
    <row r="304" ht="18.75" customHeight="1">
      <c r="B304" s="20"/>
    </row>
    <row r="306" spans="1:3" ht="18.75" customHeight="1">
      <c r="A306" s="20"/>
      <c r="B306" s="20"/>
      <c r="C306" s="11"/>
    </row>
    <row r="307" spans="1:2" ht="18.75" customHeight="1">
      <c r="A307" s="20"/>
      <c r="B307" s="20"/>
    </row>
    <row r="308" spans="1:3" ht="18.75" customHeight="1">
      <c r="A308" s="20"/>
      <c r="C308" s="11"/>
    </row>
    <row r="309" spans="1:3" ht="18.75" customHeight="1">
      <c r="A309" s="20"/>
      <c r="C309" s="11"/>
    </row>
    <row r="310" ht="18.75" customHeight="1">
      <c r="B310" s="20"/>
    </row>
    <row r="312" spans="1:3" ht="18.75" customHeight="1">
      <c r="A312" s="20"/>
      <c r="C312" s="11"/>
    </row>
    <row r="327" ht="18.75" customHeight="1">
      <c r="B327" s="20"/>
    </row>
    <row r="328" ht="18.75" customHeight="1">
      <c r="B328" s="20"/>
    </row>
    <row r="329" spans="1:8" s="7" customFormat="1" ht="18.75" customHeight="1">
      <c r="A329" s="20"/>
      <c r="B329" s="30"/>
      <c r="C329" s="11"/>
      <c r="D329" s="20"/>
      <c r="H329" s="223"/>
    </row>
    <row r="330" spans="1:8" s="7" customFormat="1" ht="18.75" customHeight="1">
      <c r="A330" s="20"/>
      <c r="B330" s="30"/>
      <c r="C330" s="11"/>
      <c r="D330" s="20"/>
      <c r="H330" s="223"/>
    </row>
    <row r="354" ht="18.75" customHeight="1">
      <c r="B354" s="20"/>
    </row>
    <row r="356" spans="1:3" ht="18.75" customHeight="1">
      <c r="A356" s="20"/>
      <c r="C356" s="11"/>
    </row>
    <row r="357" ht="18.75" customHeight="1"/>
    <row r="362" ht="18.75" customHeight="1"/>
    <row r="368" ht="18.75" customHeight="1">
      <c r="B368" s="20"/>
    </row>
    <row r="369" ht="18.75" customHeight="1">
      <c r="B369" s="20"/>
    </row>
    <row r="370" spans="1:3" ht="18.75" customHeight="1">
      <c r="A370" s="20"/>
      <c r="C370" s="11"/>
    </row>
    <row r="371" spans="1:3" ht="18.75" customHeight="1">
      <c r="A371" s="20"/>
      <c r="C371" s="11"/>
    </row>
    <row r="379" ht="18.75" customHeight="1">
      <c r="B379" s="20"/>
    </row>
    <row r="381" spans="1:3" ht="18.75" customHeight="1">
      <c r="A381" s="20"/>
      <c r="C381" s="11"/>
    </row>
    <row r="382" ht="18.75" customHeight="1">
      <c r="B382" s="40"/>
    </row>
    <row r="383" ht="18.75" customHeight="1">
      <c r="B383" s="40"/>
    </row>
    <row r="384" ht="18.75" customHeight="1">
      <c r="C384" s="41"/>
    </row>
    <row r="385" spans="2:3" ht="18.75" customHeight="1">
      <c r="B385" s="20"/>
      <c r="C385" s="41"/>
    </row>
    <row r="387" ht="18.75" customHeight="1">
      <c r="C387" s="11"/>
    </row>
  </sheetData>
  <sheetProtection/>
  <mergeCells count="7">
    <mergeCell ref="A195:D195"/>
    <mergeCell ref="F169:F170"/>
    <mergeCell ref="G169:G170"/>
    <mergeCell ref="H169:H170"/>
    <mergeCell ref="I79:I80"/>
    <mergeCell ref="I147:I148"/>
    <mergeCell ref="I169:I170"/>
  </mergeCells>
  <printOptions/>
  <pageMargins left="0.3937007874015748" right="0.3937007874015748" top="0.7874015748031497" bottom="0.3937007874015748" header="0" footer="0"/>
  <pageSetup fitToHeight="3" horizontalDpi="600" verticalDpi="600" orientation="landscape" paperSize="9" scale="53" r:id="rId3"/>
  <rowBreaks count="1" manualBreakCount="1">
    <brk id="18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5"/>
  <sheetViews>
    <sheetView zoomScale="70" zoomScaleNormal="70" zoomScalePageLayoutView="0" workbookViewId="0" topLeftCell="A1">
      <selection activeCell="J17" sqref="J17"/>
    </sheetView>
  </sheetViews>
  <sheetFormatPr defaultColWidth="9.00390625" defaultRowHeight="12.75"/>
  <cols>
    <col min="2" max="2" width="48.75390625" style="0" customWidth="1"/>
    <col min="3" max="11" width="16.25390625" style="0" customWidth="1"/>
  </cols>
  <sheetData>
    <row r="1" spans="1:3" ht="18">
      <c r="A1" s="27" t="s">
        <v>119</v>
      </c>
      <c r="B1" s="28"/>
      <c r="C1" s="29"/>
    </row>
    <row r="2" spans="1:3" ht="18">
      <c r="A2" s="27"/>
      <c r="B2" s="28"/>
      <c r="C2" s="29"/>
    </row>
    <row r="3" spans="1:9" ht="22.5">
      <c r="A3" s="100" t="s">
        <v>278</v>
      </c>
      <c r="B3" s="100"/>
      <c r="C3" s="100"/>
      <c r="D3" s="100"/>
      <c r="E3" s="100"/>
      <c r="F3" s="100"/>
      <c r="G3" s="100"/>
      <c r="H3" s="100"/>
      <c r="I3" s="100"/>
    </row>
    <row r="4" spans="1:9" ht="22.5">
      <c r="A4" s="48"/>
      <c r="B4" s="48"/>
      <c r="C4" s="48"/>
      <c r="D4" s="48"/>
      <c r="E4" s="48"/>
      <c r="F4" s="48"/>
      <c r="G4" s="48"/>
      <c r="H4" s="48"/>
      <c r="I4" s="48"/>
    </row>
    <row r="5" spans="1:14" ht="104.25">
      <c r="A5" s="55" t="s">
        <v>135</v>
      </c>
      <c r="B5" s="56" t="s">
        <v>35</v>
      </c>
      <c r="C5" s="91" t="s">
        <v>318</v>
      </c>
      <c r="D5" s="56" t="s">
        <v>277</v>
      </c>
      <c r="E5" s="56" t="s">
        <v>214</v>
      </c>
      <c r="F5" s="146">
        <v>44805</v>
      </c>
      <c r="G5" s="56" t="s">
        <v>294</v>
      </c>
      <c r="H5" s="56" t="s">
        <v>120</v>
      </c>
      <c r="I5" s="56" t="s">
        <v>319</v>
      </c>
      <c r="J5" s="122" t="s">
        <v>215</v>
      </c>
      <c r="K5" s="20" t="s">
        <v>209</v>
      </c>
      <c r="L5" s="166" t="s">
        <v>320</v>
      </c>
      <c r="M5" s="166" t="s">
        <v>321</v>
      </c>
      <c r="N5" s="6" t="s">
        <v>322</v>
      </c>
    </row>
    <row r="6" spans="1:14" ht="18">
      <c r="A6" s="57">
        <v>1</v>
      </c>
      <c r="B6" s="57">
        <v>2</v>
      </c>
      <c r="C6" s="57">
        <v>3</v>
      </c>
      <c r="D6" s="58">
        <v>4</v>
      </c>
      <c r="E6" s="57">
        <v>5</v>
      </c>
      <c r="F6" s="57">
        <v>6</v>
      </c>
      <c r="G6" s="57">
        <v>7</v>
      </c>
      <c r="H6" s="58">
        <v>5</v>
      </c>
      <c r="I6" s="57">
        <v>6</v>
      </c>
      <c r="J6" s="123"/>
      <c r="K6" s="126"/>
      <c r="L6" s="43"/>
      <c r="M6" s="43"/>
      <c r="N6" s="43"/>
    </row>
    <row r="7" spans="1:14" ht="36.75">
      <c r="A7" s="55" t="s">
        <v>27</v>
      </c>
      <c r="B7" s="60" t="s">
        <v>118</v>
      </c>
      <c r="C7" s="57" t="s">
        <v>31</v>
      </c>
      <c r="D7" s="61">
        <v>1697135.33</v>
      </c>
      <c r="E7" s="61">
        <v>284658.16000000003</v>
      </c>
      <c r="F7" s="61">
        <v>127012.97</v>
      </c>
      <c r="G7" s="61">
        <v>1822212.7450000003</v>
      </c>
      <c r="H7" s="61">
        <v>4856.219960653523</v>
      </c>
      <c r="I7" s="61">
        <v>1701991.5499606535</v>
      </c>
      <c r="J7" s="61">
        <v>1281569.2999999998</v>
      </c>
      <c r="K7" s="61">
        <v>74912.55503934645</v>
      </c>
      <c r="L7" s="142"/>
      <c r="M7" s="2"/>
      <c r="N7" s="2"/>
    </row>
    <row r="8" spans="1:14" ht="18">
      <c r="A8" s="62" t="s">
        <v>0</v>
      </c>
      <c r="B8" s="63" t="s">
        <v>32</v>
      </c>
      <c r="C8" s="64" t="s">
        <v>31</v>
      </c>
      <c r="D8" s="65">
        <v>452562.85000000003</v>
      </c>
      <c r="E8" s="65">
        <v>63620.55999999999</v>
      </c>
      <c r="F8" s="65">
        <v>33149.08000000001</v>
      </c>
      <c r="G8" s="65">
        <v>426647.92000000004</v>
      </c>
      <c r="H8" s="65">
        <v>-32042.50503934649</v>
      </c>
      <c r="I8" s="65">
        <v>420520.3449606535</v>
      </c>
      <c r="J8" s="65">
        <v>456428.18</v>
      </c>
      <c r="K8" s="130">
        <v>35907.83503934649</v>
      </c>
      <c r="L8" s="4"/>
      <c r="M8" s="4"/>
      <c r="N8" s="4"/>
    </row>
    <row r="9" spans="1:14" ht="18">
      <c r="A9" s="50" t="s">
        <v>33</v>
      </c>
      <c r="B9" s="66" t="s">
        <v>128</v>
      </c>
      <c r="C9" s="13" t="s">
        <v>31</v>
      </c>
      <c r="D9" s="119">
        <v>25067.09</v>
      </c>
      <c r="E9" s="119">
        <v>5493.95</v>
      </c>
      <c r="F9" s="119">
        <v>5145.6</v>
      </c>
      <c r="G9" s="119">
        <v>42558.2</v>
      </c>
      <c r="H9" s="67">
        <v>0</v>
      </c>
      <c r="I9" s="67">
        <v>25067.09</v>
      </c>
      <c r="J9" s="123">
        <v>27289.44</v>
      </c>
      <c r="K9" s="124">
        <v>2222.3499999999985</v>
      </c>
      <c r="L9" s="2"/>
      <c r="M9" s="2"/>
      <c r="N9" s="2"/>
    </row>
    <row r="10" spans="1:11" ht="18">
      <c r="A10" s="50" t="s">
        <v>21</v>
      </c>
      <c r="B10" s="66" t="s">
        <v>133</v>
      </c>
      <c r="C10" s="13" t="s">
        <v>31</v>
      </c>
      <c r="D10" s="119">
        <v>101113.67</v>
      </c>
      <c r="E10" s="119">
        <v>14150.42</v>
      </c>
      <c r="F10" s="119">
        <v>6803.46</v>
      </c>
      <c r="G10" s="119">
        <v>83815.52</v>
      </c>
      <c r="H10" s="67">
        <v>-17298.149999999994</v>
      </c>
      <c r="I10" s="67">
        <v>83815.52</v>
      </c>
      <c r="J10" s="123">
        <v>95723.56</v>
      </c>
      <c r="K10" s="124">
        <v>11908.039999999994</v>
      </c>
    </row>
    <row r="11" spans="1:14" ht="18">
      <c r="A11" s="50" t="s">
        <v>22</v>
      </c>
      <c r="B11" s="66" t="s">
        <v>126</v>
      </c>
      <c r="C11" s="13" t="s">
        <v>31</v>
      </c>
      <c r="D11" s="119">
        <v>315018.56</v>
      </c>
      <c r="E11" s="119">
        <v>43933.09</v>
      </c>
      <c r="F11" s="119">
        <v>21175.79</v>
      </c>
      <c r="G11" s="119">
        <v>300274.2</v>
      </c>
      <c r="H11" s="67">
        <v>-14744.355039346498</v>
      </c>
      <c r="I11" s="61">
        <v>300274.2049606535</v>
      </c>
      <c r="J11" s="167">
        <v>320384.32</v>
      </c>
      <c r="K11" s="128">
        <v>20110.115039346507</v>
      </c>
      <c r="L11" s="168">
        <v>150137.32</v>
      </c>
      <c r="M11" s="168">
        <v>164010.12000000002</v>
      </c>
      <c r="N11" s="169">
        <v>13873.23503934656</v>
      </c>
    </row>
    <row r="12" spans="1:14" ht="18">
      <c r="A12" s="68"/>
      <c r="B12" s="69" t="s">
        <v>86</v>
      </c>
      <c r="C12" s="70" t="s">
        <v>13</v>
      </c>
      <c r="D12" s="71">
        <v>19144.01</v>
      </c>
      <c r="E12" s="71">
        <v>2724.2619999999997</v>
      </c>
      <c r="F12" s="119"/>
      <c r="G12" s="119">
        <v>18247.98</v>
      </c>
      <c r="H12" s="71">
        <v>-896.0299999999988</v>
      </c>
      <c r="I12" s="71">
        <v>18247.98</v>
      </c>
      <c r="J12" s="123"/>
      <c r="K12" s="124">
        <v>-18247.98</v>
      </c>
      <c r="L12" s="26">
        <v>9123.99</v>
      </c>
      <c r="M12" s="26">
        <v>9123.990000000002</v>
      </c>
      <c r="N12" s="26"/>
    </row>
    <row r="13" spans="1:14" ht="18">
      <c r="A13" s="68"/>
      <c r="B13" s="69" t="s">
        <v>84</v>
      </c>
      <c r="C13" s="70" t="s">
        <v>115</v>
      </c>
      <c r="D13" s="72">
        <v>16.455202436689074</v>
      </c>
      <c r="E13" s="72">
        <v>16.126602360565908</v>
      </c>
      <c r="F13" s="72" t="e">
        <v>#DIV/0!</v>
      </c>
      <c r="G13" s="134">
        <v>16.455202164842355</v>
      </c>
      <c r="H13" s="71">
        <v>0</v>
      </c>
      <c r="I13" s="72">
        <v>16.455202436689074</v>
      </c>
      <c r="J13" s="123"/>
      <c r="K13" s="124">
        <v>-16.455202436689074</v>
      </c>
      <c r="L13" s="26"/>
      <c r="M13" s="26"/>
      <c r="N13" s="26"/>
    </row>
    <row r="14" spans="1:14" ht="54">
      <c r="A14" s="155"/>
      <c r="B14" s="76" t="s">
        <v>297</v>
      </c>
      <c r="C14" s="64" t="s">
        <v>31</v>
      </c>
      <c r="D14" s="156">
        <v>108746.67</v>
      </c>
      <c r="E14" s="157"/>
      <c r="F14" s="157"/>
      <c r="G14" s="158"/>
      <c r="H14" s="111">
        <v>-5065.269999999991</v>
      </c>
      <c r="I14" s="111">
        <v>103681.40000000001</v>
      </c>
      <c r="J14" s="111">
        <v>0</v>
      </c>
      <c r="K14" s="111">
        <v>0</v>
      </c>
      <c r="L14" s="111">
        <v>51840.93</v>
      </c>
      <c r="M14" s="111">
        <v>55093.57</v>
      </c>
      <c r="N14" s="159"/>
    </row>
    <row r="15" spans="1:14" ht="18">
      <c r="A15" s="68"/>
      <c r="B15" s="109" t="s">
        <v>298</v>
      </c>
      <c r="C15" s="13" t="s">
        <v>31</v>
      </c>
      <c r="D15" s="154">
        <v>71606.17</v>
      </c>
      <c r="E15" s="72"/>
      <c r="F15" s="72"/>
      <c r="G15" s="134"/>
      <c r="H15" s="71">
        <v>-3351.5099999999948</v>
      </c>
      <c r="I15" s="71">
        <v>68254.66</v>
      </c>
      <c r="J15" s="71">
        <v>0</v>
      </c>
      <c r="K15" s="71">
        <v>0</v>
      </c>
      <c r="L15" s="71">
        <v>34127.35</v>
      </c>
      <c r="M15" s="71">
        <v>37471.45</v>
      </c>
      <c r="N15" s="26"/>
    </row>
    <row r="16" spans="1:14" ht="18">
      <c r="A16" s="68"/>
      <c r="B16" s="110" t="s">
        <v>301</v>
      </c>
      <c r="C16" s="70" t="s">
        <v>13</v>
      </c>
      <c r="D16" s="154">
        <v>17991.5</v>
      </c>
      <c r="E16" s="72"/>
      <c r="F16" s="72"/>
      <c r="G16" s="134"/>
      <c r="H16" s="71">
        <v>-842.087093822036</v>
      </c>
      <c r="I16" s="72">
        <v>17149.412906177964</v>
      </c>
      <c r="J16" s="123"/>
      <c r="K16" s="124"/>
      <c r="L16" s="26">
        <v>8574.71</v>
      </c>
      <c r="M16" s="164">
        <v>8574.702906177965</v>
      </c>
      <c r="N16" s="26"/>
    </row>
    <row r="17" spans="1:13" ht="18">
      <c r="A17" s="68"/>
      <c r="B17" s="95" t="s">
        <v>84</v>
      </c>
      <c r="C17" s="70" t="s">
        <v>115</v>
      </c>
      <c r="D17" s="154">
        <v>3.98</v>
      </c>
      <c r="E17" s="72"/>
      <c r="F17" s="72"/>
      <c r="G17" s="134"/>
      <c r="H17" s="71">
        <v>0</v>
      </c>
      <c r="I17" s="71">
        <v>3.98</v>
      </c>
      <c r="J17" s="123"/>
      <c r="K17" s="124"/>
      <c r="L17" s="26">
        <v>3.98</v>
      </c>
      <c r="M17" s="26">
        <v>4.37</v>
      </c>
    </row>
    <row r="18" spans="1:13" ht="18">
      <c r="A18" s="68"/>
      <c r="B18" s="109" t="s">
        <v>300</v>
      </c>
      <c r="C18" s="13" t="s">
        <v>31</v>
      </c>
      <c r="D18" s="154">
        <v>12712</v>
      </c>
      <c r="E18" s="72"/>
      <c r="F18" s="72"/>
      <c r="G18" s="134"/>
      <c r="H18" s="71">
        <v>-594.7999999999993</v>
      </c>
      <c r="I18" s="71">
        <v>12117.2</v>
      </c>
      <c r="J18" s="71">
        <v>0</v>
      </c>
      <c r="K18" s="71">
        <v>0</v>
      </c>
      <c r="L18" s="71">
        <v>6058.56</v>
      </c>
      <c r="M18" s="71">
        <v>6272.86</v>
      </c>
    </row>
    <row r="19" spans="1:13" ht="18">
      <c r="A19" s="68"/>
      <c r="B19" s="110" t="s">
        <v>301</v>
      </c>
      <c r="C19" s="70" t="s">
        <v>13</v>
      </c>
      <c r="D19" s="154">
        <v>1152.51</v>
      </c>
      <c r="E19" s="72"/>
      <c r="F19" s="72"/>
      <c r="G19" s="134"/>
      <c r="H19" s="71">
        <v>-53.94290617796378</v>
      </c>
      <c r="I19" s="71">
        <v>1098.5670938220362</v>
      </c>
      <c r="J19" s="123"/>
      <c r="K19" s="124"/>
      <c r="L19" s="26">
        <v>549.28</v>
      </c>
      <c r="M19" s="164">
        <v>549.2870938220362</v>
      </c>
    </row>
    <row r="20" spans="1:13" ht="18">
      <c r="A20" s="68"/>
      <c r="B20" s="95" t="s">
        <v>84</v>
      </c>
      <c r="C20" s="70" t="s">
        <v>115</v>
      </c>
      <c r="D20" s="154">
        <v>11.03</v>
      </c>
      <c r="E20" s="72"/>
      <c r="F20" s="72"/>
      <c r="G20" s="134"/>
      <c r="H20" s="71">
        <v>0</v>
      </c>
      <c r="I20" s="72">
        <v>11.03</v>
      </c>
      <c r="J20" s="123"/>
      <c r="K20" s="124"/>
      <c r="L20" s="26">
        <v>11.03</v>
      </c>
      <c r="M20" s="26">
        <v>11.42</v>
      </c>
    </row>
    <row r="21" spans="1:13" ht="18">
      <c r="A21" s="68"/>
      <c r="B21" s="109" t="s">
        <v>302</v>
      </c>
      <c r="C21" s="13" t="s">
        <v>31</v>
      </c>
      <c r="D21" s="154">
        <v>22552.39</v>
      </c>
      <c r="E21" s="72"/>
      <c r="F21" s="72"/>
      <c r="G21" s="134"/>
      <c r="H21" s="71">
        <v>-1067.6499999999978</v>
      </c>
      <c r="I21" s="71">
        <v>21484.74</v>
      </c>
      <c r="J21" s="123"/>
      <c r="K21" s="124"/>
      <c r="L21" s="165">
        <v>10742.62</v>
      </c>
      <c r="M21" s="165">
        <v>10418.61</v>
      </c>
    </row>
    <row r="22" spans="1:13" ht="18">
      <c r="A22" s="68"/>
      <c r="B22" s="110" t="s">
        <v>301</v>
      </c>
      <c r="C22" s="70" t="s">
        <v>315</v>
      </c>
      <c r="D22" s="154">
        <v>31.7</v>
      </c>
      <c r="E22" s="72"/>
      <c r="F22" s="72"/>
      <c r="G22" s="134"/>
      <c r="H22" s="71">
        <v>-1.5007118037985343</v>
      </c>
      <c r="I22" s="71">
        <v>30.199288196201465</v>
      </c>
      <c r="J22" s="123"/>
      <c r="K22" s="124"/>
      <c r="L22" s="26">
        <v>15.1</v>
      </c>
      <c r="M22" s="164">
        <v>15.099288196201465</v>
      </c>
    </row>
    <row r="23" spans="1:13" ht="18">
      <c r="A23" s="68"/>
      <c r="B23" s="95" t="s">
        <v>303</v>
      </c>
      <c r="C23" s="70" t="s">
        <v>115</v>
      </c>
      <c r="D23" s="154">
        <v>711432</v>
      </c>
      <c r="E23" s="72"/>
      <c r="F23" s="72"/>
      <c r="G23" s="134"/>
      <c r="H23" s="71">
        <v>0</v>
      </c>
      <c r="I23" s="154">
        <v>711432</v>
      </c>
      <c r="J23" s="123"/>
      <c r="K23" s="124"/>
      <c r="L23" s="26">
        <v>711432</v>
      </c>
      <c r="M23" s="26">
        <v>690007</v>
      </c>
    </row>
    <row r="24" spans="1:13" ht="36">
      <c r="A24" s="68"/>
      <c r="B24" s="109" t="s">
        <v>304</v>
      </c>
      <c r="C24" s="13" t="s">
        <v>31</v>
      </c>
      <c r="D24" s="154">
        <v>1876.11</v>
      </c>
      <c r="E24" s="72"/>
      <c r="F24" s="72"/>
      <c r="G24" s="134"/>
      <c r="H24" s="71">
        <v>-51.309999999999945</v>
      </c>
      <c r="I24" s="71">
        <v>1824.8</v>
      </c>
      <c r="J24" s="71">
        <v>0</v>
      </c>
      <c r="K24" s="71">
        <v>0</v>
      </c>
      <c r="L24" s="71">
        <v>912.4</v>
      </c>
      <c r="M24" s="71">
        <v>930.65</v>
      </c>
    </row>
    <row r="25" spans="1:13" ht="18">
      <c r="A25" s="68"/>
      <c r="B25" s="110" t="s">
        <v>301</v>
      </c>
      <c r="C25" s="70" t="s">
        <v>13</v>
      </c>
      <c r="D25" s="154">
        <v>19144.01</v>
      </c>
      <c r="E25" s="72"/>
      <c r="F25" s="72"/>
      <c r="G25" s="134"/>
      <c r="H25" s="71">
        <v>-896.0299999999988</v>
      </c>
      <c r="I25" s="72">
        <v>18247.98</v>
      </c>
      <c r="J25" s="123"/>
      <c r="K25" s="124"/>
      <c r="L25" s="26">
        <v>9123.99</v>
      </c>
      <c r="M25" s="164">
        <v>9123.99</v>
      </c>
    </row>
    <row r="26" spans="1:13" ht="18">
      <c r="A26" s="68"/>
      <c r="B26" s="95" t="s">
        <v>303</v>
      </c>
      <c r="C26" s="70" t="s">
        <v>115</v>
      </c>
      <c r="D26" s="154">
        <v>0.1</v>
      </c>
      <c r="E26" s="72"/>
      <c r="F26" s="72"/>
      <c r="G26" s="134"/>
      <c r="H26" s="71">
        <v>0</v>
      </c>
      <c r="I26" s="154">
        <v>0.1</v>
      </c>
      <c r="J26" s="123"/>
      <c r="K26" s="124"/>
      <c r="L26" s="26">
        <v>0.1</v>
      </c>
      <c r="M26" s="26">
        <v>0.102</v>
      </c>
    </row>
    <row r="27" spans="1:13" ht="18">
      <c r="A27" s="155"/>
      <c r="B27" s="152" t="s">
        <v>305</v>
      </c>
      <c r="C27" s="64" t="s">
        <v>31</v>
      </c>
      <c r="D27" s="156">
        <v>206271.89</v>
      </c>
      <c r="E27" s="157"/>
      <c r="F27" s="157"/>
      <c r="G27" s="158"/>
      <c r="H27" s="160">
        <v>-9679.085240000011</v>
      </c>
      <c r="I27" s="111">
        <v>196592.79999999996</v>
      </c>
      <c r="J27" s="111">
        <v>0</v>
      </c>
      <c r="K27" s="111">
        <v>0</v>
      </c>
      <c r="L27" s="111">
        <v>98296.39</v>
      </c>
      <c r="M27" s="111">
        <v>108916.55000000002</v>
      </c>
    </row>
    <row r="28" spans="1:13" ht="18">
      <c r="A28" s="68"/>
      <c r="B28" s="109" t="s">
        <v>306</v>
      </c>
      <c r="C28" s="70" t="s">
        <v>13</v>
      </c>
      <c r="D28" s="154">
        <v>51377.30984000001</v>
      </c>
      <c r="E28" s="72"/>
      <c r="F28" s="72"/>
      <c r="G28" s="134"/>
      <c r="H28" s="71">
        <v>-2404.6998400000084</v>
      </c>
      <c r="I28" s="71">
        <v>48972.61</v>
      </c>
      <c r="J28" s="71">
        <v>0</v>
      </c>
      <c r="K28" s="71">
        <v>0</v>
      </c>
      <c r="L28" s="71">
        <v>24486.31</v>
      </c>
      <c r="M28" s="71">
        <v>24932.78</v>
      </c>
    </row>
    <row r="29" spans="1:13" ht="18">
      <c r="A29" s="68"/>
      <c r="B29" s="110" t="s">
        <v>301</v>
      </c>
      <c r="C29" s="70" t="s">
        <v>13</v>
      </c>
      <c r="D29" s="154">
        <v>18368.72</v>
      </c>
      <c r="E29" s="72"/>
      <c r="F29" s="72"/>
      <c r="G29" s="134"/>
      <c r="H29" s="71">
        <v>-859.7427697540879</v>
      </c>
      <c r="I29" s="72">
        <v>17508.977230245913</v>
      </c>
      <c r="J29" s="123"/>
      <c r="K29" s="124"/>
      <c r="L29" s="26">
        <v>8754.49</v>
      </c>
      <c r="M29" s="164">
        <v>8754.487230245913</v>
      </c>
    </row>
    <row r="30" spans="1:13" ht="18">
      <c r="A30" s="68"/>
      <c r="B30" s="95" t="s">
        <v>303</v>
      </c>
      <c r="C30" s="70" t="s">
        <v>115</v>
      </c>
      <c r="D30" s="153">
        <v>2.797</v>
      </c>
      <c r="E30" s="72"/>
      <c r="F30" s="72"/>
      <c r="G30" s="134"/>
      <c r="H30" s="71"/>
      <c r="I30" s="72">
        <v>2.797</v>
      </c>
      <c r="J30" s="123"/>
      <c r="K30" s="124"/>
      <c r="L30" s="26">
        <v>2.797</v>
      </c>
      <c r="M30" s="26">
        <v>2.848</v>
      </c>
    </row>
    <row r="31" spans="1:13" ht="18">
      <c r="A31" s="68"/>
      <c r="B31" s="109" t="s">
        <v>307</v>
      </c>
      <c r="C31" s="13" t="s">
        <v>31</v>
      </c>
      <c r="D31" s="154">
        <v>147025.9968</v>
      </c>
      <c r="E31" s="72"/>
      <c r="F31" s="72"/>
      <c r="G31" s="134"/>
      <c r="H31" s="71">
        <v>-6881.506800000003</v>
      </c>
      <c r="I31" s="71">
        <v>140144.49</v>
      </c>
      <c r="J31" s="71">
        <v>0</v>
      </c>
      <c r="K31" s="71">
        <v>0</v>
      </c>
      <c r="L31" s="71">
        <v>70072.24</v>
      </c>
      <c r="M31" s="71">
        <v>79834.91</v>
      </c>
    </row>
    <row r="32" spans="1:13" ht="18">
      <c r="A32" s="68"/>
      <c r="B32" s="110" t="s">
        <v>301</v>
      </c>
      <c r="C32" s="70" t="s">
        <v>13</v>
      </c>
      <c r="D32" s="154">
        <v>19144.01</v>
      </c>
      <c r="E32" s="72"/>
      <c r="F32" s="72"/>
      <c r="G32" s="134"/>
      <c r="H32" s="71">
        <v>-896.0299999999988</v>
      </c>
      <c r="I32" s="72">
        <v>18247.98</v>
      </c>
      <c r="J32" s="123"/>
      <c r="K32" s="124"/>
      <c r="L32" s="26">
        <v>9123.99</v>
      </c>
      <c r="M32" s="164">
        <v>9123.99</v>
      </c>
    </row>
    <row r="33" spans="1:13" ht="18">
      <c r="A33" s="68"/>
      <c r="B33" s="95" t="s">
        <v>303</v>
      </c>
      <c r="C33" s="70" t="s">
        <v>115</v>
      </c>
      <c r="D33" s="154">
        <v>7.68</v>
      </c>
      <c r="E33" s="72"/>
      <c r="F33" s="72"/>
      <c r="G33" s="134"/>
      <c r="H33" s="71"/>
      <c r="I33" s="72">
        <v>7.68</v>
      </c>
      <c r="J33" s="123"/>
      <c r="K33" s="124"/>
      <c r="L33" s="26">
        <v>7.68</v>
      </c>
      <c r="M33" s="26">
        <v>8.75</v>
      </c>
    </row>
    <row r="34" spans="1:13" ht="36">
      <c r="A34" s="68"/>
      <c r="B34" s="109" t="s">
        <v>309</v>
      </c>
      <c r="C34" s="13" t="s">
        <v>31</v>
      </c>
      <c r="D34" s="154">
        <v>28.9254</v>
      </c>
      <c r="E34" s="72"/>
      <c r="F34" s="72"/>
      <c r="G34" s="134"/>
      <c r="H34" s="71">
        <v>-1.3553999999999995</v>
      </c>
      <c r="I34" s="71">
        <v>27.57</v>
      </c>
      <c r="J34" s="71">
        <v>0</v>
      </c>
      <c r="K34" s="71">
        <v>0</v>
      </c>
      <c r="L34" s="71">
        <v>13.78</v>
      </c>
      <c r="M34" s="71">
        <v>14.1</v>
      </c>
    </row>
    <row r="35" spans="1:13" ht="18">
      <c r="A35" s="68"/>
      <c r="B35" s="110" t="s">
        <v>301</v>
      </c>
      <c r="C35" s="70" t="s">
        <v>13</v>
      </c>
      <c r="D35" s="154">
        <v>29.82</v>
      </c>
      <c r="E35" s="72"/>
      <c r="F35" s="72"/>
      <c r="G35" s="134"/>
      <c r="H35" s="71">
        <v>-1.3957167072102443</v>
      </c>
      <c r="I35" s="72">
        <v>28.424283292789756</v>
      </c>
      <c r="J35" s="123"/>
      <c r="K35" s="124"/>
      <c r="L35" s="26">
        <v>14.21</v>
      </c>
      <c r="M35" s="164">
        <v>14.214283292789755</v>
      </c>
    </row>
    <row r="36" spans="1:13" ht="18">
      <c r="A36" s="68"/>
      <c r="B36" s="95" t="s">
        <v>303</v>
      </c>
      <c r="C36" s="70" t="s">
        <v>115</v>
      </c>
      <c r="D36" s="154">
        <v>0.97</v>
      </c>
      <c r="E36" s="72"/>
      <c r="F36" s="72"/>
      <c r="G36" s="134"/>
      <c r="H36" s="71"/>
      <c r="I36" s="72">
        <v>0.97</v>
      </c>
      <c r="J36" s="123"/>
      <c r="K36" s="124"/>
      <c r="L36" s="26">
        <v>0.97</v>
      </c>
      <c r="M36" s="26">
        <v>0.992</v>
      </c>
    </row>
    <row r="37" spans="1:13" ht="18">
      <c r="A37" s="68"/>
      <c r="B37" s="109" t="s">
        <v>310</v>
      </c>
      <c r="C37" s="13" t="s">
        <v>31</v>
      </c>
      <c r="D37" s="154">
        <v>0.48400000000000004</v>
      </c>
      <c r="E37" s="72"/>
      <c r="F37" s="72"/>
      <c r="G37" s="134"/>
      <c r="H37" s="71">
        <v>-0.02400000000000002</v>
      </c>
      <c r="I37" s="71">
        <v>0.46</v>
      </c>
      <c r="J37" s="71">
        <v>0</v>
      </c>
      <c r="K37" s="71">
        <v>0</v>
      </c>
      <c r="L37" s="71">
        <v>0.22</v>
      </c>
      <c r="M37" s="71">
        <v>0.25</v>
      </c>
    </row>
    <row r="38" spans="1:13" ht="18">
      <c r="A38" s="68"/>
      <c r="B38" s="110" t="s">
        <v>301</v>
      </c>
      <c r="C38" s="70" t="s">
        <v>13</v>
      </c>
      <c r="D38" s="154">
        <v>0.22</v>
      </c>
      <c r="E38" s="72"/>
      <c r="F38" s="72"/>
      <c r="G38" s="134"/>
      <c r="H38" s="71">
        <v>-0.010297038081363286</v>
      </c>
      <c r="I38" s="72">
        <v>0.20970296191863672</v>
      </c>
      <c r="J38" s="123"/>
      <c r="K38" s="124"/>
      <c r="L38" s="26">
        <v>0.1</v>
      </c>
      <c r="M38" s="164">
        <v>0.10970296191863671</v>
      </c>
    </row>
    <row r="39" spans="1:13" ht="18">
      <c r="A39" s="68"/>
      <c r="B39" s="95" t="s">
        <v>303</v>
      </c>
      <c r="C39" s="70" t="s">
        <v>115</v>
      </c>
      <c r="D39" s="154">
        <v>2.2</v>
      </c>
      <c r="E39" s="72"/>
      <c r="F39" s="72"/>
      <c r="G39" s="134"/>
      <c r="H39" s="71"/>
      <c r="I39" s="72">
        <v>2.2</v>
      </c>
      <c r="J39" s="123"/>
      <c r="K39" s="124"/>
      <c r="L39" s="26">
        <v>2.2</v>
      </c>
      <c r="M39" s="26">
        <v>2.3</v>
      </c>
    </row>
    <row r="40" spans="1:13" ht="18">
      <c r="A40" s="68"/>
      <c r="B40" s="109" t="s">
        <v>311</v>
      </c>
      <c r="C40" s="13" t="s">
        <v>31</v>
      </c>
      <c r="D40" s="154">
        <v>332.4192</v>
      </c>
      <c r="E40" s="72"/>
      <c r="F40" s="72"/>
      <c r="G40" s="134"/>
      <c r="H40" s="71">
        <v>-15.559199999999976</v>
      </c>
      <c r="I40" s="71">
        <v>316.86</v>
      </c>
      <c r="J40" s="71">
        <v>0</v>
      </c>
      <c r="K40" s="71">
        <v>0</v>
      </c>
      <c r="L40" s="71">
        <v>158.43</v>
      </c>
      <c r="M40" s="71">
        <v>163.38</v>
      </c>
    </row>
    <row r="41" spans="1:13" ht="18">
      <c r="A41" s="68"/>
      <c r="B41" s="110" t="s">
        <v>301</v>
      </c>
      <c r="C41" s="70" t="s">
        <v>13</v>
      </c>
      <c r="D41" s="154">
        <v>1038.81</v>
      </c>
      <c r="E41" s="72"/>
      <c r="F41" s="72"/>
      <c r="G41" s="134"/>
      <c r="H41" s="71">
        <v>-48.62120967864098</v>
      </c>
      <c r="I41" s="72">
        <v>990.188790321359</v>
      </c>
      <c r="J41" s="123"/>
      <c r="K41" s="124"/>
      <c r="L41" s="26">
        <v>495.09</v>
      </c>
      <c r="M41" s="164">
        <v>495.098790321359</v>
      </c>
    </row>
    <row r="42" spans="1:13" ht="18">
      <c r="A42" s="68"/>
      <c r="B42" s="95" t="s">
        <v>303</v>
      </c>
      <c r="C42" s="70" t="s">
        <v>115</v>
      </c>
      <c r="D42" s="154">
        <v>0.32</v>
      </c>
      <c r="E42" s="72"/>
      <c r="F42" s="72"/>
      <c r="G42" s="134"/>
      <c r="H42" s="71"/>
      <c r="I42" s="72">
        <v>0.32</v>
      </c>
      <c r="J42" s="123"/>
      <c r="K42" s="124"/>
      <c r="L42" s="26">
        <v>0.32</v>
      </c>
      <c r="M42" s="26">
        <v>0.33</v>
      </c>
    </row>
    <row r="43" spans="1:13" ht="36">
      <c r="A43" s="68"/>
      <c r="B43" s="109" t="s">
        <v>312</v>
      </c>
      <c r="C43" s="13" t="s">
        <v>31</v>
      </c>
      <c r="D43" s="154">
        <v>0</v>
      </c>
      <c r="E43" s="72"/>
      <c r="F43" s="72"/>
      <c r="G43" s="134"/>
      <c r="H43" s="71">
        <v>0</v>
      </c>
      <c r="I43" s="71">
        <v>0</v>
      </c>
      <c r="J43" s="123"/>
      <c r="K43" s="124"/>
      <c r="L43" s="26"/>
      <c r="M43" s="26"/>
    </row>
    <row r="44" spans="1:13" ht="18">
      <c r="A44" s="68"/>
      <c r="B44" s="110" t="s">
        <v>301</v>
      </c>
      <c r="C44" s="70" t="s">
        <v>13</v>
      </c>
      <c r="D44" s="154">
        <v>0</v>
      </c>
      <c r="E44" s="72"/>
      <c r="F44" s="72"/>
      <c r="G44" s="134"/>
      <c r="H44" s="71">
        <v>0</v>
      </c>
      <c r="I44" s="72">
        <v>0</v>
      </c>
      <c r="J44" s="123"/>
      <c r="K44" s="124"/>
      <c r="L44" s="26"/>
      <c r="M44" s="26"/>
    </row>
    <row r="45" spans="1:13" ht="18">
      <c r="A45" s="68"/>
      <c r="B45" s="95" t="s">
        <v>303</v>
      </c>
      <c r="C45" s="70" t="s">
        <v>115</v>
      </c>
      <c r="D45" s="154">
        <v>0</v>
      </c>
      <c r="E45" s="72"/>
      <c r="F45" s="72"/>
      <c r="G45" s="134"/>
      <c r="H45" s="71"/>
      <c r="I45" s="72">
        <v>0</v>
      </c>
      <c r="J45" s="123"/>
      <c r="K45" s="124"/>
      <c r="L45" s="26"/>
      <c r="M45" s="26"/>
    </row>
    <row r="46" spans="1:13" ht="36">
      <c r="A46" s="68"/>
      <c r="B46" s="109" t="s">
        <v>313</v>
      </c>
      <c r="C46" s="13" t="s">
        <v>31</v>
      </c>
      <c r="D46" s="154">
        <v>7506.75</v>
      </c>
      <c r="E46" s="72"/>
      <c r="F46" s="72"/>
      <c r="G46" s="134"/>
      <c r="H46" s="71">
        <v>-375.9399999999996</v>
      </c>
      <c r="I46" s="71">
        <v>7130.81</v>
      </c>
      <c r="J46" s="71">
        <v>0</v>
      </c>
      <c r="K46" s="71">
        <v>0</v>
      </c>
      <c r="L46" s="71">
        <v>3565.41</v>
      </c>
      <c r="M46" s="71">
        <v>3971.13</v>
      </c>
    </row>
    <row r="47" spans="1:13" ht="18">
      <c r="A47" s="68"/>
      <c r="B47" s="110" t="s">
        <v>301</v>
      </c>
      <c r="C47" s="70" t="s">
        <v>13</v>
      </c>
      <c r="D47" s="154">
        <v>12898.2</v>
      </c>
      <c r="E47" s="72"/>
      <c r="F47" s="72"/>
      <c r="G47" s="134"/>
      <c r="H47" s="71">
        <v>-603.6966208229096</v>
      </c>
      <c r="I47" s="72">
        <v>12294.503379177091</v>
      </c>
      <c r="J47" s="123"/>
      <c r="K47" s="124"/>
      <c r="L47" s="26">
        <v>6147.25</v>
      </c>
      <c r="M47" s="164">
        <v>6147.253379177091</v>
      </c>
    </row>
    <row r="48" spans="1:13" ht="18">
      <c r="A48" s="68"/>
      <c r="B48" s="95" t="s">
        <v>303</v>
      </c>
      <c r="C48" s="70" t="s">
        <v>115</v>
      </c>
      <c r="D48" s="154">
        <v>0.58</v>
      </c>
      <c r="E48" s="72"/>
      <c r="F48" s="72"/>
      <c r="G48" s="134"/>
      <c r="H48" s="71"/>
      <c r="I48" s="72">
        <v>0.58</v>
      </c>
      <c r="J48" s="123"/>
      <c r="K48" s="124"/>
      <c r="L48" s="26">
        <v>0.58</v>
      </c>
      <c r="M48" s="26">
        <v>0.646</v>
      </c>
    </row>
    <row r="49" spans="1:11" ht="18">
      <c r="A49" s="50" t="s">
        <v>54</v>
      </c>
      <c r="B49" s="66" t="s">
        <v>127</v>
      </c>
      <c r="C49" s="13" t="s">
        <v>31</v>
      </c>
      <c r="D49" s="119">
        <v>11363.53</v>
      </c>
      <c r="E49" s="119">
        <v>43.1</v>
      </c>
      <c r="F49" s="119">
        <v>24.23</v>
      </c>
      <c r="G49" s="119"/>
      <c r="H49" s="67"/>
      <c r="I49" s="67">
        <v>11363.53</v>
      </c>
      <c r="J49" s="123">
        <v>13030.86</v>
      </c>
      <c r="K49" s="124">
        <v>1667.33</v>
      </c>
    </row>
    <row r="50" spans="1:12" ht="18">
      <c r="A50" s="73" t="s">
        <v>28</v>
      </c>
      <c r="B50" s="63" t="s">
        <v>55</v>
      </c>
      <c r="C50" s="64" t="s">
        <v>31</v>
      </c>
      <c r="D50" s="65">
        <v>709884.02</v>
      </c>
      <c r="E50" s="65">
        <v>125692.09</v>
      </c>
      <c r="F50" s="65">
        <v>61912.64</v>
      </c>
      <c r="G50" s="65">
        <v>759094.74</v>
      </c>
      <c r="H50" s="65">
        <v>49210.720000000016</v>
      </c>
      <c r="I50" s="65">
        <v>759094.74</v>
      </c>
      <c r="J50" s="65">
        <v>617697.5499999999</v>
      </c>
      <c r="K50" s="130">
        <v>-141397.19000000006</v>
      </c>
      <c r="L50" s="4"/>
    </row>
    <row r="51" spans="1:12" ht="18">
      <c r="A51" s="74" t="s">
        <v>56</v>
      </c>
      <c r="B51" s="66" t="s">
        <v>132</v>
      </c>
      <c r="C51" s="13" t="s">
        <v>31</v>
      </c>
      <c r="D51" s="119">
        <v>641678.26</v>
      </c>
      <c r="E51" s="119">
        <v>113411.67</v>
      </c>
      <c r="F51" s="119">
        <v>55776.95</v>
      </c>
      <c r="G51" s="119">
        <v>681783.15</v>
      </c>
      <c r="H51" s="67">
        <v>40104.890000000014</v>
      </c>
      <c r="I51" s="67">
        <v>681783.15</v>
      </c>
      <c r="J51" s="123">
        <v>564107.35</v>
      </c>
      <c r="K51" s="124">
        <v>-117675.80000000005</v>
      </c>
      <c r="L51" s="2"/>
    </row>
    <row r="52" spans="1:12" ht="18">
      <c r="A52" s="75" t="s">
        <v>57</v>
      </c>
      <c r="B52" s="66" t="s">
        <v>216</v>
      </c>
      <c r="C52" s="13" t="s">
        <v>31</v>
      </c>
      <c r="D52" s="119">
        <v>68205.76</v>
      </c>
      <c r="E52" s="119">
        <v>12280.42</v>
      </c>
      <c r="F52" s="119">
        <v>6135.69</v>
      </c>
      <c r="G52" s="119">
        <v>77311.59</v>
      </c>
      <c r="H52" s="119">
        <v>9105.830000000002</v>
      </c>
      <c r="I52" s="67">
        <v>77311.59</v>
      </c>
      <c r="J52" s="123">
        <v>53590.2</v>
      </c>
      <c r="K52" s="124">
        <v>-23721.39</v>
      </c>
      <c r="L52" s="2"/>
    </row>
    <row r="53" spans="1:12" ht="18">
      <c r="A53" s="75"/>
      <c r="B53" s="66" t="s">
        <v>218</v>
      </c>
      <c r="C53" s="13" t="s">
        <v>31</v>
      </c>
      <c r="D53" s="119">
        <v>37538.18</v>
      </c>
      <c r="E53" s="119">
        <v>5743.26</v>
      </c>
      <c r="F53" s="119">
        <v>2912.76</v>
      </c>
      <c r="G53" s="119">
        <v>35665.8</v>
      </c>
      <c r="H53" s="61">
        <v>-1872.3799999999974</v>
      </c>
      <c r="I53" s="67">
        <v>35665.8</v>
      </c>
      <c r="J53" s="123"/>
      <c r="K53" s="124"/>
      <c r="L53" s="125"/>
    </row>
    <row r="54" spans="1:12" ht="18">
      <c r="A54" s="75"/>
      <c r="B54" s="66" t="s">
        <v>217</v>
      </c>
      <c r="C54" s="13" t="s">
        <v>31</v>
      </c>
      <c r="D54" s="119">
        <v>17325.31</v>
      </c>
      <c r="E54" s="119">
        <v>3234.46</v>
      </c>
      <c r="F54" s="119">
        <v>1619.82</v>
      </c>
      <c r="G54" s="119">
        <v>20683.6</v>
      </c>
      <c r="H54" s="67">
        <v>3358.2899999999972</v>
      </c>
      <c r="I54" s="67">
        <v>20683.6</v>
      </c>
      <c r="J54" s="123"/>
      <c r="K54" s="124"/>
      <c r="L54" s="125"/>
    </row>
    <row r="55" spans="1:12" ht="18">
      <c r="A55" s="75"/>
      <c r="B55" s="66" t="s">
        <v>208</v>
      </c>
      <c r="C55" s="13" t="s">
        <v>31</v>
      </c>
      <c r="D55" s="119">
        <v>12833.57</v>
      </c>
      <c r="E55" s="119">
        <v>3196.15</v>
      </c>
      <c r="F55" s="119">
        <v>1552.57</v>
      </c>
      <c r="G55" s="119">
        <v>20453.49</v>
      </c>
      <c r="H55" s="67">
        <v>7619.920000000002</v>
      </c>
      <c r="I55" s="67">
        <v>20453.49</v>
      </c>
      <c r="J55" s="123"/>
      <c r="K55" s="124"/>
      <c r="L55" s="142"/>
    </row>
    <row r="56" spans="1:12" ht="36">
      <c r="A56" s="75"/>
      <c r="B56" s="77" t="s">
        <v>279</v>
      </c>
      <c r="C56" s="13" t="s">
        <v>31</v>
      </c>
      <c r="D56" s="119">
        <v>508.7</v>
      </c>
      <c r="E56" s="119">
        <v>106.55</v>
      </c>
      <c r="F56" s="119">
        <v>50.54</v>
      </c>
      <c r="G56" s="119">
        <v>508.7</v>
      </c>
      <c r="H56" s="67"/>
      <c r="I56" s="67">
        <v>508.7</v>
      </c>
      <c r="J56" s="123"/>
      <c r="K56" s="124"/>
      <c r="L56" s="2"/>
    </row>
    <row r="57" spans="1:12" ht="18">
      <c r="A57" s="73" t="s">
        <v>29</v>
      </c>
      <c r="B57" s="63" t="s">
        <v>221</v>
      </c>
      <c r="C57" s="64" t="s">
        <v>31</v>
      </c>
      <c r="D57" s="65">
        <v>364086.74000000005</v>
      </c>
      <c r="E57" s="65">
        <v>64708.37</v>
      </c>
      <c r="F57" s="65">
        <v>0</v>
      </c>
      <c r="G57" s="65">
        <v>372689.16000000003</v>
      </c>
      <c r="H57" s="65">
        <v>8602.419999999998</v>
      </c>
      <c r="I57" s="65">
        <v>372689.16000000003</v>
      </c>
      <c r="J57" s="65">
        <v>55268.68</v>
      </c>
      <c r="K57" s="130">
        <v>55268.68</v>
      </c>
      <c r="L57" s="4"/>
    </row>
    <row r="58" spans="1:11" ht="18">
      <c r="A58" s="50"/>
      <c r="B58" s="33" t="s">
        <v>210</v>
      </c>
      <c r="C58" s="13" t="s">
        <v>31</v>
      </c>
      <c r="D58" s="119"/>
      <c r="E58" s="119">
        <v>122591.35</v>
      </c>
      <c r="F58" s="119">
        <v>61292.71</v>
      </c>
      <c r="G58" s="119"/>
      <c r="H58" s="67"/>
      <c r="I58" s="67"/>
      <c r="J58" s="123">
        <v>55268.68</v>
      </c>
      <c r="K58" s="124">
        <v>55268.68</v>
      </c>
    </row>
    <row r="59" spans="1:11" ht="36">
      <c r="A59" s="50"/>
      <c r="B59" s="87" t="s">
        <v>219</v>
      </c>
      <c r="C59" s="13" t="s">
        <v>31</v>
      </c>
      <c r="D59" s="119"/>
      <c r="E59" s="119">
        <v>8.57</v>
      </c>
      <c r="F59" s="119">
        <v>4.29</v>
      </c>
      <c r="G59" s="119"/>
      <c r="H59" s="67"/>
      <c r="I59" s="67"/>
      <c r="J59" s="123"/>
      <c r="K59" s="124"/>
    </row>
    <row r="60" spans="1:11" ht="18">
      <c r="A60" s="50"/>
      <c r="B60" s="77" t="s">
        <v>93</v>
      </c>
      <c r="C60" s="13" t="s">
        <v>31</v>
      </c>
      <c r="D60" s="119">
        <v>364086.74000000005</v>
      </c>
      <c r="E60" s="119"/>
      <c r="F60" s="119"/>
      <c r="G60" s="119"/>
      <c r="H60" s="67"/>
      <c r="I60" s="67"/>
      <c r="J60" s="123"/>
      <c r="K60" s="124"/>
    </row>
    <row r="61" spans="1:11" ht="18">
      <c r="A61" s="50" t="s">
        <v>58</v>
      </c>
      <c r="B61" s="77" t="s">
        <v>220</v>
      </c>
      <c r="C61" s="13" t="s">
        <v>31</v>
      </c>
      <c r="D61" s="119">
        <v>240665.21</v>
      </c>
      <c r="E61" s="119">
        <v>0</v>
      </c>
      <c r="F61" s="119">
        <v>0</v>
      </c>
      <c r="G61" s="119">
        <v>240665.21</v>
      </c>
      <c r="H61" s="67"/>
      <c r="I61" s="67">
        <v>240665.21</v>
      </c>
      <c r="J61" s="123"/>
      <c r="K61" s="124"/>
    </row>
    <row r="62" spans="1:11" ht="18">
      <c r="A62" s="50" t="s">
        <v>59</v>
      </c>
      <c r="B62" s="66" t="s">
        <v>211</v>
      </c>
      <c r="C62" s="13" t="s">
        <v>31</v>
      </c>
      <c r="D62" s="119">
        <v>120814.32</v>
      </c>
      <c r="E62" s="119">
        <v>64708.37</v>
      </c>
      <c r="F62" s="119">
        <v>0</v>
      </c>
      <c r="G62" s="119">
        <v>129416.74</v>
      </c>
      <c r="H62" s="67">
        <v>8602.419999999998</v>
      </c>
      <c r="I62" s="67">
        <v>129416.74</v>
      </c>
      <c r="J62" s="123"/>
      <c r="K62" s="124"/>
    </row>
    <row r="63" spans="1:11" ht="18">
      <c r="A63" s="50" t="s">
        <v>222</v>
      </c>
      <c r="B63" s="66" t="s">
        <v>223</v>
      </c>
      <c r="C63" s="13" t="s">
        <v>31</v>
      </c>
      <c r="D63" s="119">
        <v>2607.21</v>
      </c>
      <c r="E63" s="119">
        <v>0</v>
      </c>
      <c r="F63" s="119">
        <v>0</v>
      </c>
      <c r="G63" s="119">
        <v>2607.21</v>
      </c>
      <c r="H63" s="67"/>
      <c r="I63" s="67">
        <v>2607.21</v>
      </c>
      <c r="J63" s="123"/>
      <c r="K63" s="124"/>
    </row>
    <row r="64" spans="1:12" ht="54">
      <c r="A64" s="73" t="s">
        <v>30</v>
      </c>
      <c r="B64" s="76" t="s">
        <v>137</v>
      </c>
      <c r="C64" s="64" t="s">
        <v>31</v>
      </c>
      <c r="D64" s="65">
        <v>31678.739999999998</v>
      </c>
      <c r="E64" s="65">
        <v>20559</v>
      </c>
      <c r="F64" s="65">
        <v>13314.55</v>
      </c>
      <c r="G64" s="65">
        <v>135494.16</v>
      </c>
      <c r="H64" s="65">
        <v>-4637.079999999998</v>
      </c>
      <c r="I64" s="65">
        <v>27041.660000000003</v>
      </c>
      <c r="J64" s="65">
        <v>152174.88999999998</v>
      </c>
      <c r="K64" s="130">
        <v>125133.23000000001</v>
      </c>
      <c r="L64" s="3"/>
    </row>
    <row r="65" spans="1:15" ht="18">
      <c r="A65" s="50" t="s">
        <v>60</v>
      </c>
      <c r="B65" s="66" t="s">
        <v>117</v>
      </c>
      <c r="C65" s="13" t="s">
        <v>31</v>
      </c>
      <c r="D65" s="119">
        <v>8009.26</v>
      </c>
      <c r="E65" s="119">
        <v>17411.52</v>
      </c>
      <c r="F65" s="119">
        <v>11703.92</v>
      </c>
      <c r="G65" s="119">
        <v>116461.76000000001</v>
      </c>
      <c r="H65" s="67"/>
      <c r="I65" s="67">
        <v>8009.26</v>
      </c>
      <c r="J65" s="123">
        <v>130281.99</v>
      </c>
      <c r="K65" s="124">
        <v>122272.73000000001</v>
      </c>
      <c r="L65" s="2"/>
      <c r="M65" s="2"/>
      <c r="N65" s="2"/>
      <c r="O65" s="2"/>
    </row>
    <row r="66" spans="1:15" ht="36">
      <c r="A66" s="75" t="s">
        <v>61</v>
      </c>
      <c r="B66" s="77" t="s">
        <v>116</v>
      </c>
      <c r="C66" s="13" t="s">
        <v>31</v>
      </c>
      <c r="D66" s="119">
        <v>23669.48</v>
      </c>
      <c r="E66" s="119">
        <v>3147.47</v>
      </c>
      <c r="F66" s="119">
        <v>1610.63</v>
      </c>
      <c r="G66" s="119">
        <v>19032.4</v>
      </c>
      <c r="H66" s="67">
        <v>-4637.079999999998</v>
      </c>
      <c r="I66" s="67">
        <v>19032.4</v>
      </c>
      <c r="J66" s="123">
        <v>21892.91</v>
      </c>
      <c r="K66" s="124">
        <v>2860.5099999999984</v>
      </c>
      <c r="L66" s="2"/>
      <c r="M66" s="2"/>
      <c r="N66" s="2"/>
      <c r="O66" s="2"/>
    </row>
    <row r="67" spans="1:15" ht="72">
      <c r="A67" s="62" t="s">
        <v>1</v>
      </c>
      <c r="B67" s="76" t="s">
        <v>3</v>
      </c>
      <c r="C67" s="64" t="s">
        <v>31</v>
      </c>
      <c r="D67" s="61">
        <v>82995.66</v>
      </c>
      <c r="E67" s="61">
        <v>6628.889999999999</v>
      </c>
      <c r="F67" s="61">
        <v>5993.86</v>
      </c>
      <c r="G67" s="61">
        <v>72574.455</v>
      </c>
      <c r="H67" s="61">
        <v>-13795.935000000001</v>
      </c>
      <c r="I67" s="61">
        <v>69199.725</v>
      </c>
      <c r="J67" s="61">
        <v>0</v>
      </c>
      <c r="K67" s="61">
        <v>0</v>
      </c>
      <c r="L67" s="3"/>
      <c r="M67" s="3"/>
      <c r="N67" s="3"/>
      <c r="O67" s="3"/>
    </row>
    <row r="68" spans="1:15" ht="18">
      <c r="A68" s="92" t="s">
        <v>95</v>
      </c>
      <c r="B68" s="77" t="s">
        <v>159</v>
      </c>
      <c r="C68" s="93" t="s">
        <v>31</v>
      </c>
      <c r="D68" s="67">
        <v>1259.71</v>
      </c>
      <c r="E68" s="67">
        <v>342.39</v>
      </c>
      <c r="F68" s="67">
        <v>191.64</v>
      </c>
      <c r="G68" s="67">
        <v>2136.12</v>
      </c>
      <c r="H68" s="67"/>
      <c r="I68" s="61">
        <v>1259.71</v>
      </c>
      <c r="J68" s="61"/>
      <c r="K68" s="61"/>
      <c r="L68" s="3"/>
      <c r="M68" s="3"/>
      <c r="N68" s="3"/>
      <c r="O68" s="3"/>
    </row>
    <row r="69" spans="1:15" ht="18">
      <c r="A69" s="92" t="s">
        <v>96</v>
      </c>
      <c r="B69" s="77" t="s">
        <v>280</v>
      </c>
      <c r="C69" s="93" t="s">
        <v>31</v>
      </c>
      <c r="D69" s="67">
        <v>34000</v>
      </c>
      <c r="E69" s="67">
        <v>0</v>
      </c>
      <c r="F69" s="67">
        <v>0</v>
      </c>
      <c r="G69" s="67">
        <v>36320</v>
      </c>
      <c r="H69" s="67"/>
      <c r="I69" s="61">
        <v>34000</v>
      </c>
      <c r="J69" s="61"/>
      <c r="K69" s="61"/>
      <c r="L69" s="145"/>
      <c r="M69" s="3"/>
      <c r="N69" s="3"/>
      <c r="O69" s="3"/>
    </row>
    <row r="70" spans="1:15" ht="18">
      <c r="A70" s="92" t="s">
        <v>97</v>
      </c>
      <c r="B70" s="77" t="s">
        <v>140</v>
      </c>
      <c r="C70" s="93" t="s">
        <v>31</v>
      </c>
      <c r="D70" s="67">
        <v>98.85</v>
      </c>
      <c r="E70" s="67">
        <v>0</v>
      </c>
      <c r="F70" s="67">
        <v>0</v>
      </c>
      <c r="G70" s="67">
        <v>98.85</v>
      </c>
      <c r="H70" s="67"/>
      <c r="I70" s="61">
        <v>98.85</v>
      </c>
      <c r="J70" s="61"/>
      <c r="K70" s="61"/>
      <c r="L70" s="3"/>
      <c r="M70" s="3"/>
      <c r="N70" s="3"/>
      <c r="O70" s="3"/>
    </row>
    <row r="71" spans="1:15" ht="36">
      <c r="A71" s="92" t="s">
        <v>98</v>
      </c>
      <c r="B71" s="77" t="s">
        <v>139</v>
      </c>
      <c r="C71" s="93" t="s">
        <v>31</v>
      </c>
      <c r="D71" s="67">
        <v>699.98</v>
      </c>
      <c r="E71" s="67">
        <v>257.87</v>
      </c>
      <c r="F71" s="67">
        <v>128.93</v>
      </c>
      <c r="G71" s="67">
        <v>1547.16</v>
      </c>
      <c r="H71" s="67"/>
      <c r="I71" s="61">
        <v>699.98</v>
      </c>
      <c r="J71" s="61"/>
      <c r="K71" s="61"/>
      <c r="L71" s="3"/>
      <c r="M71" s="3"/>
      <c r="N71" s="3"/>
      <c r="O71" s="3"/>
    </row>
    <row r="72" spans="1:15" ht="36">
      <c r="A72" s="92" t="s">
        <v>99</v>
      </c>
      <c r="B72" s="77" t="s">
        <v>281</v>
      </c>
      <c r="C72" s="93" t="s">
        <v>31</v>
      </c>
      <c r="D72" s="67">
        <v>457</v>
      </c>
      <c r="E72" s="67">
        <v>0</v>
      </c>
      <c r="F72" s="67">
        <v>0</v>
      </c>
      <c r="G72" s="67">
        <v>0</v>
      </c>
      <c r="H72" s="67"/>
      <c r="I72" s="61">
        <v>457</v>
      </c>
      <c r="J72" s="61"/>
      <c r="K72" s="61"/>
      <c r="L72" s="161"/>
      <c r="M72" s="3"/>
      <c r="N72" s="3"/>
      <c r="O72" s="143"/>
    </row>
    <row r="73" spans="1:15" ht="54">
      <c r="A73" s="92" t="s">
        <v>100</v>
      </c>
      <c r="B73" s="77" t="s">
        <v>87</v>
      </c>
      <c r="C73" s="93" t="s">
        <v>31</v>
      </c>
      <c r="D73" s="67">
        <v>191.11</v>
      </c>
      <c r="E73" s="67">
        <v>67.5</v>
      </c>
      <c r="F73" s="67">
        <v>65.12</v>
      </c>
      <c r="G73" s="67">
        <v>530.48</v>
      </c>
      <c r="H73" s="67"/>
      <c r="I73" s="61">
        <v>191.11</v>
      </c>
      <c r="J73" s="61"/>
      <c r="K73" s="61"/>
      <c r="L73" s="3"/>
      <c r="M73" s="3"/>
      <c r="N73" s="3"/>
      <c r="O73" s="143"/>
    </row>
    <row r="74" spans="1:15" ht="36">
      <c r="A74" s="92" t="s">
        <v>101</v>
      </c>
      <c r="B74" s="77" t="s">
        <v>94</v>
      </c>
      <c r="C74" s="93" t="s">
        <v>31</v>
      </c>
      <c r="D74" s="67">
        <v>420</v>
      </c>
      <c r="E74" s="67">
        <v>0</v>
      </c>
      <c r="F74" s="67">
        <v>0</v>
      </c>
      <c r="G74" s="67">
        <v>0</v>
      </c>
      <c r="H74" s="67"/>
      <c r="I74" s="61">
        <v>420</v>
      </c>
      <c r="J74" s="61"/>
      <c r="K74" s="61"/>
      <c r="L74" s="3"/>
      <c r="M74" s="3"/>
      <c r="N74" s="3"/>
      <c r="O74" s="143"/>
    </row>
    <row r="75" spans="1:15" ht="18">
      <c r="A75" s="92" t="s">
        <v>102</v>
      </c>
      <c r="B75" s="77" t="s">
        <v>144</v>
      </c>
      <c r="C75" s="93" t="s">
        <v>31</v>
      </c>
      <c r="D75" s="67">
        <v>261.82</v>
      </c>
      <c r="E75" s="67">
        <v>17.29</v>
      </c>
      <c r="F75" s="67">
        <v>0</v>
      </c>
      <c r="G75" s="67">
        <v>69.16</v>
      </c>
      <c r="H75" s="67"/>
      <c r="I75" s="61">
        <v>261.82</v>
      </c>
      <c r="J75" s="61"/>
      <c r="K75" s="61"/>
      <c r="L75" s="3"/>
      <c r="M75" s="3"/>
      <c r="N75" s="3"/>
      <c r="O75" s="143"/>
    </row>
    <row r="76" spans="1:15" ht="36">
      <c r="A76" s="92" t="s">
        <v>103</v>
      </c>
      <c r="B76" s="77" t="s">
        <v>282</v>
      </c>
      <c r="C76" s="93" t="s">
        <v>31</v>
      </c>
      <c r="D76" s="67">
        <v>299</v>
      </c>
      <c r="E76" s="67">
        <v>0</v>
      </c>
      <c r="F76" s="67">
        <v>0</v>
      </c>
      <c r="G76" s="67">
        <v>0</v>
      </c>
      <c r="H76" s="67"/>
      <c r="I76" s="61">
        <v>299</v>
      </c>
      <c r="J76" s="61"/>
      <c r="K76" s="61"/>
      <c r="L76" s="161"/>
      <c r="M76" s="3"/>
      <c r="N76" s="3"/>
      <c r="O76" s="143"/>
    </row>
    <row r="77" spans="1:15" ht="36">
      <c r="A77" s="92" t="s">
        <v>104</v>
      </c>
      <c r="B77" s="77" t="s">
        <v>225</v>
      </c>
      <c r="C77" s="93" t="s">
        <v>31</v>
      </c>
      <c r="D77" s="67">
        <v>236.7</v>
      </c>
      <c r="E77" s="67">
        <v>0</v>
      </c>
      <c r="F77" s="67">
        <v>0</v>
      </c>
      <c r="G77" s="67">
        <v>0</v>
      </c>
      <c r="H77" s="67">
        <v>-236.7</v>
      </c>
      <c r="I77" s="61">
        <v>0</v>
      </c>
      <c r="J77" s="61"/>
      <c r="K77" s="61"/>
      <c r="L77" s="161"/>
      <c r="M77" s="3"/>
      <c r="N77" s="3"/>
      <c r="O77" s="3"/>
    </row>
    <row r="78" spans="1:15" ht="36">
      <c r="A78" s="92" t="s">
        <v>105</v>
      </c>
      <c r="B78" s="77" t="s">
        <v>226</v>
      </c>
      <c r="C78" s="93" t="s">
        <v>31</v>
      </c>
      <c r="D78" s="67">
        <v>0</v>
      </c>
      <c r="E78" s="67">
        <v>0</v>
      </c>
      <c r="F78" s="67">
        <v>0</v>
      </c>
      <c r="G78" s="67">
        <v>0</v>
      </c>
      <c r="H78" s="67"/>
      <c r="I78" s="61">
        <v>0</v>
      </c>
      <c r="J78" s="61"/>
      <c r="K78" s="61"/>
      <c r="L78" s="3"/>
      <c r="M78" s="3"/>
      <c r="N78" s="3"/>
      <c r="O78" s="143"/>
    </row>
    <row r="79" spans="1:15" ht="36">
      <c r="A79" s="92" t="s">
        <v>106</v>
      </c>
      <c r="B79" s="77" t="s">
        <v>195</v>
      </c>
      <c r="C79" s="93" t="s">
        <v>31</v>
      </c>
      <c r="D79" s="67">
        <v>44200</v>
      </c>
      <c r="E79" s="67">
        <v>5608.17</v>
      </c>
      <c r="F79" s="67">
        <v>5608.17</v>
      </c>
      <c r="G79" s="67">
        <v>30640.765</v>
      </c>
      <c r="H79" s="67">
        <v>-13559.235</v>
      </c>
      <c r="I79" s="61">
        <v>30640.765</v>
      </c>
      <c r="J79" s="61"/>
      <c r="K79" s="61"/>
      <c r="L79" s="3"/>
      <c r="M79" s="3"/>
      <c r="N79" s="3"/>
      <c r="O79" s="3"/>
    </row>
    <row r="80" spans="1:15" ht="36">
      <c r="A80" s="92" t="s">
        <v>107</v>
      </c>
      <c r="B80" s="77" t="s">
        <v>110</v>
      </c>
      <c r="C80" s="93" t="s">
        <v>31</v>
      </c>
      <c r="D80" s="67">
        <v>844</v>
      </c>
      <c r="E80" s="67">
        <v>300</v>
      </c>
      <c r="F80" s="67">
        <v>0</v>
      </c>
      <c r="G80" s="67">
        <v>1200</v>
      </c>
      <c r="H80" s="67"/>
      <c r="I80" s="61">
        <v>844</v>
      </c>
      <c r="J80" s="61"/>
      <c r="K80" s="61"/>
      <c r="L80" s="3"/>
      <c r="M80" s="3"/>
      <c r="N80" s="3"/>
      <c r="O80" s="3"/>
    </row>
    <row r="81" spans="1:12" ht="18">
      <c r="A81" s="92" t="s">
        <v>108</v>
      </c>
      <c r="B81" s="77" t="s">
        <v>203</v>
      </c>
      <c r="C81" s="93" t="s">
        <v>31</v>
      </c>
      <c r="D81" s="67">
        <v>0</v>
      </c>
      <c r="E81" s="61">
        <v>0</v>
      </c>
      <c r="F81" s="67">
        <v>0</v>
      </c>
      <c r="G81" s="67">
        <v>0</v>
      </c>
      <c r="H81" s="67"/>
      <c r="I81" s="61">
        <v>0</v>
      </c>
      <c r="J81" s="61"/>
      <c r="K81" s="61"/>
      <c r="L81" s="3"/>
    </row>
    <row r="82" spans="1:12" ht="18">
      <c r="A82" s="92" t="s">
        <v>109</v>
      </c>
      <c r="B82" s="77" t="s">
        <v>205</v>
      </c>
      <c r="C82" s="93" t="s">
        <v>31</v>
      </c>
      <c r="D82" s="67">
        <v>27.49</v>
      </c>
      <c r="E82" s="67">
        <v>7.98</v>
      </c>
      <c r="F82" s="67">
        <v>0</v>
      </c>
      <c r="G82" s="67">
        <v>31.92</v>
      </c>
      <c r="H82" s="67"/>
      <c r="I82" s="61">
        <v>27.49</v>
      </c>
      <c r="J82" s="61"/>
      <c r="K82" s="61"/>
      <c r="L82" s="3"/>
    </row>
    <row r="83" spans="1:12" ht="18">
      <c r="A83" s="92" t="s">
        <v>206</v>
      </c>
      <c r="B83" s="77" t="s">
        <v>202</v>
      </c>
      <c r="C83" s="93" t="s">
        <v>31</v>
      </c>
      <c r="D83" s="67">
        <v>0</v>
      </c>
      <c r="E83" s="61"/>
      <c r="F83" s="67"/>
      <c r="G83" s="67"/>
      <c r="H83" s="67"/>
      <c r="I83" s="61"/>
      <c r="J83" s="61"/>
      <c r="K83" s="61"/>
      <c r="L83" s="3"/>
    </row>
    <row r="84" spans="1:12" ht="18">
      <c r="A84" s="92" t="s">
        <v>283</v>
      </c>
      <c r="B84" s="77" t="s">
        <v>201</v>
      </c>
      <c r="C84" s="93" t="s">
        <v>31</v>
      </c>
      <c r="D84" s="67">
        <v>0</v>
      </c>
      <c r="E84" s="67"/>
      <c r="F84" s="67"/>
      <c r="G84" s="67">
        <v>0</v>
      </c>
      <c r="H84" s="67"/>
      <c r="I84" s="61"/>
      <c r="J84" s="61"/>
      <c r="K84" s="61"/>
      <c r="L84" s="3"/>
    </row>
    <row r="85" spans="1:12" ht="36">
      <c r="A85" s="92" t="s">
        <v>207</v>
      </c>
      <c r="B85" s="77" t="s">
        <v>227</v>
      </c>
      <c r="C85" s="93" t="s">
        <v>31</v>
      </c>
      <c r="D85" s="67">
        <v>0</v>
      </c>
      <c r="E85" s="67">
        <v>27.69</v>
      </c>
      <c r="F85" s="67">
        <v>0</v>
      </c>
      <c r="G85" s="67">
        <v>0</v>
      </c>
      <c r="H85" s="67"/>
      <c r="I85" s="61">
        <v>0</v>
      </c>
      <c r="J85" s="61"/>
      <c r="K85" s="61"/>
      <c r="L85" s="3"/>
    </row>
    <row r="86" spans="1:12" ht="18">
      <c r="A86" s="73" t="s">
        <v>4</v>
      </c>
      <c r="B86" s="63" t="s">
        <v>5</v>
      </c>
      <c r="C86" s="64" t="s">
        <v>31</v>
      </c>
      <c r="D86" s="65">
        <v>55927.32000000001</v>
      </c>
      <c r="E86" s="65">
        <v>3449.2499999999995</v>
      </c>
      <c r="F86" s="65">
        <v>12642.84</v>
      </c>
      <c r="G86" s="65">
        <v>55712.31000000001</v>
      </c>
      <c r="H86" s="65">
        <v>-2481.3999999999996</v>
      </c>
      <c r="I86" s="65">
        <v>53445.92000000001</v>
      </c>
      <c r="J86" s="65">
        <v>0</v>
      </c>
      <c r="K86" s="65">
        <v>0</v>
      </c>
      <c r="L86" s="4"/>
    </row>
    <row r="87" spans="1:12" ht="18">
      <c r="A87" s="92" t="s">
        <v>160</v>
      </c>
      <c r="B87" s="77" t="s">
        <v>145</v>
      </c>
      <c r="C87" s="93" t="s">
        <v>31</v>
      </c>
      <c r="D87" s="67">
        <v>8471.56</v>
      </c>
      <c r="E87" s="67">
        <v>998.3599999999999</v>
      </c>
      <c r="F87" s="67">
        <v>499.17999999999995</v>
      </c>
      <c r="G87" s="67">
        <v>5990.16</v>
      </c>
      <c r="H87" s="67">
        <v>-2481.3999999999996</v>
      </c>
      <c r="I87" s="65">
        <v>5990.16</v>
      </c>
      <c r="J87" s="65"/>
      <c r="K87" s="65"/>
      <c r="L87" s="4"/>
    </row>
    <row r="88" spans="1:12" ht="18">
      <c r="A88" s="92" t="s">
        <v>161</v>
      </c>
      <c r="B88" s="77" t="s">
        <v>146</v>
      </c>
      <c r="C88" s="93" t="s">
        <v>31</v>
      </c>
      <c r="D88" s="67">
        <v>2511.09</v>
      </c>
      <c r="E88" s="67">
        <v>844.13</v>
      </c>
      <c r="F88" s="67">
        <v>273.65</v>
      </c>
      <c r="G88" s="67">
        <v>4471.12</v>
      </c>
      <c r="H88" s="67"/>
      <c r="I88" s="65">
        <v>2511.09</v>
      </c>
      <c r="J88" s="65"/>
      <c r="K88" s="65"/>
      <c r="L88" s="4"/>
    </row>
    <row r="89" spans="1:12" ht="18">
      <c r="A89" s="92" t="s">
        <v>162</v>
      </c>
      <c r="B89" s="77" t="s">
        <v>147</v>
      </c>
      <c r="C89" s="93" t="s">
        <v>31</v>
      </c>
      <c r="D89" s="67">
        <v>434.16</v>
      </c>
      <c r="E89" s="67">
        <v>111.11</v>
      </c>
      <c r="F89" s="67">
        <v>74.02</v>
      </c>
      <c r="G89" s="67">
        <v>740.52</v>
      </c>
      <c r="H89" s="67"/>
      <c r="I89" s="65">
        <v>434.16</v>
      </c>
      <c r="J89" s="65"/>
      <c r="K89" s="65"/>
      <c r="L89" s="4"/>
    </row>
    <row r="90" spans="1:12" ht="18">
      <c r="A90" s="92" t="s">
        <v>163</v>
      </c>
      <c r="B90" s="77" t="s">
        <v>182</v>
      </c>
      <c r="C90" s="93" t="s">
        <v>31</v>
      </c>
      <c r="D90" s="67">
        <v>36645.95</v>
      </c>
      <c r="E90" s="67">
        <v>0</v>
      </c>
      <c r="F90" s="67">
        <v>11742.4</v>
      </c>
      <c r="G90" s="67">
        <v>36645.95</v>
      </c>
      <c r="H90" s="67"/>
      <c r="I90" s="65">
        <v>36645.95</v>
      </c>
      <c r="J90" s="65"/>
      <c r="K90" s="65"/>
      <c r="L90" s="6"/>
    </row>
    <row r="91" spans="1:12" ht="18">
      <c r="A91" s="92" t="s">
        <v>164</v>
      </c>
      <c r="B91" s="77" t="s">
        <v>149</v>
      </c>
      <c r="C91" s="93" t="s">
        <v>31</v>
      </c>
      <c r="D91" s="67">
        <v>110.19</v>
      </c>
      <c r="E91" s="67">
        <v>10.23</v>
      </c>
      <c r="F91" s="67">
        <v>5.12</v>
      </c>
      <c r="G91" s="67">
        <v>110.19</v>
      </c>
      <c r="H91" s="67"/>
      <c r="I91" s="65">
        <v>110.19</v>
      </c>
      <c r="J91" s="65"/>
      <c r="K91" s="65"/>
      <c r="L91" s="4"/>
    </row>
    <row r="92" spans="1:12" ht="18">
      <c r="A92" s="92" t="s">
        <v>165</v>
      </c>
      <c r="B92" s="77" t="s">
        <v>150</v>
      </c>
      <c r="C92" s="93" t="s">
        <v>31</v>
      </c>
      <c r="D92" s="67">
        <v>1767.83</v>
      </c>
      <c r="E92" s="67"/>
      <c r="F92" s="67"/>
      <c r="G92" s="67">
        <v>1767.83</v>
      </c>
      <c r="H92" s="67"/>
      <c r="I92" s="65">
        <v>1767.83</v>
      </c>
      <c r="J92" s="65"/>
      <c r="K92" s="65"/>
      <c r="L92" s="4"/>
    </row>
    <row r="93" spans="1:12" ht="18">
      <c r="A93" s="92" t="s">
        <v>166</v>
      </c>
      <c r="B93" s="77" t="s">
        <v>151</v>
      </c>
      <c r="C93" s="93" t="s">
        <v>31</v>
      </c>
      <c r="D93" s="67">
        <v>417.9</v>
      </c>
      <c r="E93" s="67"/>
      <c r="F93" s="67"/>
      <c r="G93" s="67">
        <v>417.9</v>
      </c>
      <c r="H93" s="67"/>
      <c r="I93" s="65">
        <v>417.9</v>
      </c>
      <c r="J93" s="65"/>
      <c r="K93" s="65"/>
      <c r="L93" s="4"/>
    </row>
    <row r="94" spans="1:12" ht="18">
      <c r="A94" s="92" t="s">
        <v>167</v>
      </c>
      <c r="B94" s="77" t="s">
        <v>152</v>
      </c>
      <c r="C94" s="93" t="s">
        <v>31</v>
      </c>
      <c r="D94" s="67">
        <v>1267.5</v>
      </c>
      <c r="E94" s="67"/>
      <c r="F94" s="67"/>
      <c r="G94" s="67">
        <v>1267.5</v>
      </c>
      <c r="H94" s="67"/>
      <c r="I94" s="65">
        <v>1267.5</v>
      </c>
      <c r="J94" s="65"/>
      <c r="K94" s="65"/>
      <c r="L94" s="4"/>
    </row>
    <row r="95" spans="1:12" ht="18">
      <c r="A95" s="92" t="s">
        <v>168</v>
      </c>
      <c r="B95" s="77" t="s">
        <v>153</v>
      </c>
      <c r="C95" s="93" t="s">
        <v>31</v>
      </c>
      <c r="D95" s="67">
        <v>2043.37</v>
      </c>
      <c r="E95" s="67">
        <v>1364.07</v>
      </c>
      <c r="F95" s="67">
        <v>7</v>
      </c>
      <c r="G95" s="67">
        <v>2043.37</v>
      </c>
      <c r="H95" s="67"/>
      <c r="I95" s="65">
        <v>2043.37</v>
      </c>
      <c r="J95" s="65"/>
      <c r="K95" s="65"/>
      <c r="L95" s="4"/>
    </row>
    <row r="96" spans="1:12" ht="18">
      <c r="A96" s="92" t="s">
        <v>169</v>
      </c>
      <c r="B96" s="77" t="s">
        <v>154</v>
      </c>
      <c r="C96" s="93" t="s">
        <v>31</v>
      </c>
      <c r="D96" s="67">
        <v>1670.26</v>
      </c>
      <c r="E96" s="67">
        <v>19.2</v>
      </c>
      <c r="F96" s="67">
        <v>41.47</v>
      </c>
      <c r="G96" s="67">
        <v>1670.26</v>
      </c>
      <c r="H96" s="67"/>
      <c r="I96" s="65">
        <v>1670.26</v>
      </c>
      <c r="J96" s="65"/>
      <c r="K96" s="65"/>
      <c r="L96" s="4"/>
    </row>
    <row r="97" spans="1:12" ht="36">
      <c r="A97" s="92" t="s">
        <v>196</v>
      </c>
      <c r="B97" s="77" t="s">
        <v>197</v>
      </c>
      <c r="C97" s="93" t="s">
        <v>31</v>
      </c>
      <c r="D97" s="67">
        <v>587.51</v>
      </c>
      <c r="E97" s="67">
        <v>102.15</v>
      </c>
      <c r="F97" s="67">
        <v>0</v>
      </c>
      <c r="G97" s="67">
        <v>587.51</v>
      </c>
      <c r="H97" s="67"/>
      <c r="I97" s="65">
        <v>587.51</v>
      </c>
      <c r="J97" s="65"/>
      <c r="K97" s="65"/>
      <c r="L97" s="4"/>
    </row>
    <row r="98" spans="1:11" ht="17.25">
      <c r="A98" s="78" t="s">
        <v>134</v>
      </c>
      <c r="B98" s="79" t="s">
        <v>6</v>
      </c>
      <c r="C98" s="57" t="s">
        <v>31</v>
      </c>
      <c r="D98" s="61">
        <v>326993.55</v>
      </c>
      <c r="E98" s="61">
        <v>122955.85999999999</v>
      </c>
      <c r="F98" s="61">
        <v>14924.83</v>
      </c>
      <c r="G98" s="61" t="e">
        <v>#REF!</v>
      </c>
      <c r="H98" s="61">
        <v>75797.68</v>
      </c>
      <c r="I98" s="61">
        <v>402791.23000000004</v>
      </c>
      <c r="J98" s="61" t="e">
        <v>#REF!</v>
      </c>
      <c r="K98" s="61" t="e">
        <v>#REF!</v>
      </c>
    </row>
    <row r="99" spans="1:12" ht="18">
      <c r="A99" s="73" t="s">
        <v>7</v>
      </c>
      <c r="B99" s="63" t="s">
        <v>8</v>
      </c>
      <c r="C99" s="64" t="s">
        <v>31</v>
      </c>
      <c r="D99" s="65">
        <v>260820.22</v>
      </c>
      <c r="E99" s="65">
        <v>107166.82999999999</v>
      </c>
      <c r="F99" s="65">
        <v>6417.639999999999</v>
      </c>
      <c r="G99" s="65" t="e">
        <v>#REF!</v>
      </c>
      <c r="H99" s="65">
        <v>60639.87</v>
      </c>
      <c r="I99" s="65">
        <v>321460.09</v>
      </c>
      <c r="J99" s="65" t="e">
        <v>#REF!</v>
      </c>
      <c r="K99" s="65" t="e">
        <v>#REF!</v>
      </c>
      <c r="L99" s="151"/>
    </row>
    <row r="100" spans="1:11" ht="18">
      <c r="A100" s="50" t="s">
        <v>9</v>
      </c>
      <c r="B100" s="66" t="s">
        <v>121</v>
      </c>
      <c r="C100" s="13" t="s">
        <v>31</v>
      </c>
      <c r="D100" s="67">
        <v>48775.399999999994</v>
      </c>
      <c r="E100" s="67">
        <v>11204.779999999999</v>
      </c>
      <c r="F100" s="67">
        <v>5331.87</v>
      </c>
      <c r="G100" s="67">
        <v>52159.06</v>
      </c>
      <c r="H100" s="67">
        <v>3383.6600000000008</v>
      </c>
      <c r="I100" s="67">
        <v>52159.06</v>
      </c>
      <c r="J100" s="67">
        <v>51354.71</v>
      </c>
      <c r="K100" s="67">
        <v>-804.3500000000013</v>
      </c>
    </row>
    <row r="101" spans="1:11" ht="18">
      <c r="A101" s="50" t="s">
        <v>10</v>
      </c>
      <c r="B101" s="80" t="s">
        <v>122</v>
      </c>
      <c r="C101" s="13" t="s">
        <v>31</v>
      </c>
      <c r="D101" s="67">
        <v>44120.67</v>
      </c>
      <c r="E101" s="67">
        <v>10104.55</v>
      </c>
      <c r="F101" s="67">
        <v>4792.55</v>
      </c>
      <c r="G101" s="67">
        <v>46878.21</v>
      </c>
      <c r="H101" s="67">
        <v>2757.540000000001</v>
      </c>
      <c r="I101" s="67">
        <v>46878.21</v>
      </c>
      <c r="J101" s="123">
        <v>46599.17</v>
      </c>
      <c r="K101" s="124">
        <v>-279.0400000000009</v>
      </c>
    </row>
    <row r="102" spans="1:11" ht="18">
      <c r="A102" s="50" t="s">
        <v>2</v>
      </c>
      <c r="B102" s="80" t="s">
        <v>216</v>
      </c>
      <c r="C102" s="13" t="s">
        <v>31</v>
      </c>
      <c r="D102" s="67">
        <v>4654.73</v>
      </c>
      <c r="E102" s="67">
        <v>1100.23</v>
      </c>
      <c r="F102" s="67">
        <v>539.32</v>
      </c>
      <c r="G102" s="67">
        <v>5280.85</v>
      </c>
      <c r="H102" s="67">
        <v>626.12</v>
      </c>
      <c r="I102" s="67">
        <v>5280.85</v>
      </c>
      <c r="J102" s="123">
        <v>4755.54</v>
      </c>
      <c r="K102" s="124">
        <v>-525.3100000000004</v>
      </c>
    </row>
    <row r="103" spans="1:11" ht="18">
      <c r="A103" s="50" t="s">
        <v>235</v>
      </c>
      <c r="B103" s="80" t="s">
        <v>218</v>
      </c>
      <c r="C103" s="13" t="s">
        <v>31</v>
      </c>
      <c r="D103" s="67">
        <v>2581.06</v>
      </c>
      <c r="E103" s="67">
        <v>516.25</v>
      </c>
      <c r="F103" s="67">
        <v>258.17</v>
      </c>
      <c r="G103" s="67">
        <v>2440.9</v>
      </c>
      <c r="H103" s="67">
        <v>-140.15999999999985</v>
      </c>
      <c r="I103" s="67">
        <v>2440.9</v>
      </c>
      <c r="J103" s="123"/>
      <c r="K103" s="124"/>
    </row>
    <row r="104" spans="1:11" ht="18">
      <c r="A104" s="50" t="s">
        <v>234</v>
      </c>
      <c r="B104" s="80" t="s">
        <v>217</v>
      </c>
      <c r="C104" s="13" t="s">
        <v>31</v>
      </c>
      <c r="D104" s="67">
        <v>1191.26</v>
      </c>
      <c r="E104" s="67">
        <v>294.56</v>
      </c>
      <c r="F104" s="67">
        <v>143.63</v>
      </c>
      <c r="G104" s="67">
        <v>1433.6</v>
      </c>
      <c r="H104" s="67">
        <v>242.33999999999992</v>
      </c>
      <c r="I104" s="67">
        <v>1433.6</v>
      </c>
      <c r="J104" s="123"/>
      <c r="K104" s="124"/>
    </row>
    <row r="105" spans="1:11" ht="18">
      <c r="A105" s="50" t="s">
        <v>236</v>
      </c>
      <c r="B105" s="80" t="s">
        <v>208</v>
      </c>
      <c r="C105" s="13" t="s">
        <v>31</v>
      </c>
      <c r="D105" s="67">
        <v>882.41</v>
      </c>
      <c r="E105" s="67">
        <v>289.42</v>
      </c>
      <c r="F105" s="67">
        <v>137.52</v>
      </c>
      <c r="G105" s="67">
        <v>1406.35</v>
      </c>
      <c r="H105" s="67">
        <v>523.9399999999999</v>
      </c>
      <c r="I105" s="67">
        <v>1406.35</v>
      </c>
      <c r="J105" s="123"/>
      <c r="K105" s="124"/>
    </row>
    <row r="106" spans="1:12" ht="18">
      <c r="A106" s="50" t="s">
        <v>46</v>
      </c>
      <c r="B106" s="77" t="s">
        <v>155</v>
      </c>
      <c r="C106" s="13" t="s">
        <v>31</v>
      </c>
      <c r="D106" s="67">
        <v>260.55</v>
      </c>
      <c r="E106" s="67">
        <v>131.43</v>
      </c>
      <c r="F106" s="67">
        <v>18.49</v>
      </c>
      <c r="G106" s="67">
        <v>260.55</v>
      </c>
      <c r="H106" s="67"/>
      <c r="I106" s="67">
        <v>260.55</v>
      </c>
      <c r="J106" s="67" t="e">
        <v>#REF!</v>
      </c>
      <c r="K106" s="67"/>
      <c r="L106" s="2"/>
    </row>
    <row r="107" spans="1:11" ht="18">
      <c r="A107" s="50" t="s">
        <v>47</v>
      </c>
      <c r="B107" s="66" t="s">
        <v>123</v>
      </c>
      <c r="C107" s="13" t="s">
        <v>31</v>
      </c>
      <c r="D107" s="67">
        <v>54368.14</v>
      </c>
      <c r="E107" s="67">
        <v>33053.68</v>
      </c>
      <c r="F107" s="67">
        <v>0</v>
      </c>
      <c r="G107" s="67">
        <v>54368.14</v>
      </c>
      <c r="H107" s="67"/>
      <c r="I107" s="67">
        <v>54368.14</v>
      </c>
      <c r="J107" s="67"/>
      <c r="K107" s="67"/>
    </row>
    <row r="108" spans="1:11" ht="18">
      <c r="A108" s="97" t="s">
        <v>186</v>
      </c>
      <c r="B108" s="98" t="s">
        <v>156</v>
      </c>
      <c r="C108" s="96" t="s">
        <v>31</v>
      </c>
      <c r="D108" s="67">
        <v>52426.99</v>
      </c>
      <c r="E108" s="67">
        <v>31687.63</v>
      </c>
      <c r="F108" s="67">
        <v>0</v>
      </c>
      <c r="G108" s="67">
        <v>52426.99</v>
      </c>
      <c r="H108" s="67"/>
      <c r="I108" s="67">
        <v>52426.99</v>
      </c>
      <c r="J108" s="67"/>
      <c r="K108" s="67"/>
    </row>
    <row r="109" spans="1:11" ht="18">
      <c r="A109" s="97" t="s">
        <v>187</v>
      </c>
      <c r="B109" s="98" t="s">
        <v>157</v>
      </c>
      <c r="C109" s="96" t="s">
        <v>31</v>
      </c>
      <c r="D109" s="67">
        <v>953.41</v>
      </c>
      <c r="E109" s="67">
        <v>252.81</v>
      </c>
      <c r="F109" s="67">
        <v>0</v>
      </c>
      <c r="G109" s="67">
        <v>953.41</v>
      </c>
      <c r="H109" s="67"/>
      <c r="I109" s="67">
        <v>953.41</v>
      </c>
      <c r="J109" s="67"/>
      <c r="K109" s="67"/>
    </row>
    <row r="110" spans="1:11" ht="18">
      <c r="A110" s="97" t="s">
        <v>188</v>
      </c>
      <c r="B110" s="98" t="s">
        <v>158</v>
      </c>
      <c r="C110" s="96" t="s">
        <v>31</v>
      </c>
      <c r="D110" s="67">
        <v>987.74</v>
      </c>
      <c r="E110" s="67">
        <v>1113.24</v>
      </c>
      <c r="F110" s="67">
        <v>0</v>
      </c>
      <c r="G110" s="67">
        <v>987.74</v>
      </c>
      <c r="H110" s="67"/>
      <c r="I110" s="67">
        <v>987.74</v>
      </c>
      <c r="J110" s="67"/>
      <c r="K110" s="67"/>
    </row>
    <row r="111" spans="1:12" ht="18">
      <c r="A111" s="50" t="s">
        <v>48</v>
      </c>
      <c r="B111" s="66" t="s">
        <v>295</v>
      </c>
      <c r="C111" s="13" t="s">
        <v>31</v>
      </c>
      <c r="D111" s="67"/>
      <c r="E111" s="67">
        <v>1809.76</v>
      </c>
      <c r="F111" s="67">
        <v>907.52</v>
      </c>
      <c r="G111" s="67">
        <v>0</v>
      </c>
      <c r="H111" s="67"/>
      <c r="I111" s="67">
        <v>0</v>
      </c>
      <c r="J111" s="123"/>
      <c r="K111" s="124"/>
      <c r="L111" s="2"/>
    </row>
    <row r="112" spans="1:12" ht="18">
      <c r="A112" s="50" t="s">
        <v>48</v>
      </c>
      <c r="B112" s="77" t="s">
        <v>323</v>
      </c>
      <c r="C112" s="13"/>
      <c r="D112" s="67">
        <v>15417.27</v>
      </c>
      <c r="E112" s="67"/>
      <c r="F112" s="67"/>
      <c r="G112" s="67"/>
      <c r="H112" s="67"/>
      <c r="I112" s="67">
        <v>15417.27</v>
      </c>
      <c r="J112" s="123"/>
      <c r="K112" s="124"/>
      <c r="L112" s="2"/>
    </row>
    <row r="113" spans="1:12" ht="18">
      <c r="A113" s="50" t="s">
        <v>49</v>
      </c>
      <c r="B113" s="77" t="s">
        <v>125</v>
      </c>
      <c r="C113" s="13"/>
      <c r="D113" s="67">
        <v>1052.09</v>
      </c>
      <c r="E113" s="67"/>
      <c r="F113" s="67"/>
      <c r="G113" s="67"/>
      <c r="H113" s="67"/>
      <c r="I113" s="67">
        <v>1052.09</v>
      </c>
      <c r="J113" s="123"/>
      <c r="K113" s="124"/>
      <c r="L113" s="2"/>
    </row>
    <row r="114" spans="1:12" ht="18">
      <c r="A114" s="50" t="s">
        <v>50</v>
      </c>
      <c r="B114" s="66" t="s">
        <v>126</v>
      </c>
      <c r="C114" s="13" t="s">
        <v>31</v>
      </c>
      <c r="D114" s="67">
        <v>207.31</v>
      </c>
      <c r="E114" s="67">
        <v>29.99</v>
      </c>
      <c r="F114" s="67">
        <v>12.99</v>
      </c>
      <c r="G114" s="67">
        <v>171.92</v>
      </c>
      <c r="H114" s="67"/>
      <c r="I114" s="67">
        <v>207.31</v>
      </c>
      <c r="J114" s="123"/>
      <c r="K114" s="124">
        <v>-207.31</v>
      </c>
      <c r="L114" s="2"/>
    </row>
    <row r="115" spans="1:12" ht="18">
      <c r="A115" s="50" t="s">
        <v>51</v>
      </c>
      <c r="B115" s="66" t="s">
        <v>127</v>
      </c>
      <c r="C115" s="13" t="s">
        <v>31</v>
      </c>
      <c r="D115" s="67">
        <v>544.09</v>
      </c>
      <c r="E115" s="67">
        <v>0</v>
      </c>
      <c r="F115" s="67">
        <v>0</v>
      </c>
      <c r="G115" s="67">
        <v>544.09</v>
      </c>
      <c r="H115" s="67"/>
      <c r="I115" s="67">
        <v>544.09</v>
      </c>
      <c r="J115" s="123"/>
      <c r="K115" s="124">
        <v>-544.09</v>
      </c>
      <c r="L115" s="2"/>
    </row>
    <row r="116" spans="1:11" ht="18">
      <c r="A116" s="50" t="s">
        <v>52</v>
      </c>
      <c r="B116" s="66" t="s">
        <v>128</v>
      </c>
      <c r="C116" s="13" t="s">
        <v>31</v>
      </c>
      <c r="D116" s="67">
        <v>2357.46</v>
      </c>
      <c r="E116" s="67">
        <v>349.29</v>
      </c>
      <c r="F116" s="67">
        <v>134.64</v>
      </c>
      <c r="G116" s="67">
        <v>1935.72</v>
      </c>
      <c r="H116" s="67"/>
      <c r="I116" s="67">
        <v>2357.46</v>
      </c>
      <c r="J116" s="123"/>
      <c r="K116" s="124"/>
    </row>
    <row r="117" spans="1:11" ht="18">
      <c r="A117" s="78" t="s">
        <v>53</v>
      </c>
      <c r="B117" s="102" t="s">
        <v>12</v>
      </c>
      <c r="C117" s="57" t="s">
        <v>31</v>
      </c>
      <c r="D117" s="61">
        <v>137837.91</v>
      </c>
      <c r="E117" s="61">
        <v>62397.659999999996</v>
      </c>
      <c r="F117" s="61">
        <v>919.6500000000001</v>
      </c>
      <c r="G117" s="61">
        <v>195094.15000000002</v>
      </c>
      <c r="H117" s="61">
        <v>57256.21</v>
      </c>
      <c r="I117" s="61">
        <v>195094.12000000002</v>
      </c>
      <c r="J117" s="61">
        <v>0</v>
      </c>
      <c r="K117" s="67"/>
    </row>
    <row r="118" spans="1:11" ht="18">
      <c r="A118" s="92" t="s">
        <v>238</v>
      </c>
      <c r="B118" s="77" t="s">
        <v>177</v>
      </c>
      <c r="C118" s="93" t="s">
        <v>31</v>
      </c>
      <c r="D118" s="67">
        <v>187.55</v>
      </c>
      <c r="E118" s="67">
        <v>30.25</v>
      </c>
      <c r="F118" s="67">
        <v>65.63</v>
      </c>
      <c r="G118" s="67">
        <v>187.55</v>
      </c>
      <c r="H118" s="67"/>
      <c r="I118" s="67">
        <v>187.55</v>
      </c>
      <c r="J118" s="67"/>
      <c r="K118" s="67"/>
    </row>
    <row r="119" spans="1:11" ht="18">
      <c r="A119" s="92" t="s">
        <v>239</v>
      </c>
      <c r="B119" s="77" t="s">
        <v>172</v>
      </c>
      <c r="C119" s="93" t="s">
        <v>31</v>
      </c>
      <c r="D119" s="67">
        <v>126.63</v>
      </c>
      <c r="E119" s="67">
        <v>120.08</v>
      </c>
      <c r="F119" s="67">
        <v>60.04</v>
      </c>
      <c r="G119" s="67">
        <v>126.63</v>
      </c>
      <c r="H119" s="67"/>
      <c r="I119" s="67">
        <v>126.63</v>
      </c>
      <c r="J119" s="67"/>
      <c r="K119" s="67"/>
    </row>
    <row r="120" spans="1:11" ht="18">
      <c r="A120" s="92" t="s">
        <v>240</v>
      </c>
      <c r="B120" s="77" t="s">
        <v>173</v>
      </c>
      <c r="C120" s="93" t="s">
        <v>31</v>
      </c>
      <c r="D120" s="67">
        <v>1045.35</v>
      </c>
      <c r="E120" s="67">
        <v>87.51</v>
      </c>
      <c r="F120" s="67">
        <v>43.76</v>
      </c>
      <c r="G120" s="67">
        <v>1045.35</v>
      </c>
      <c r="H120" s="67"/>
      <c r="I120" s="67">
        <v>1045.35</v>
      </c>
      <c r="J120" s="67"/>
      <c r="K120" s="67"/>
    </row>
    <row r="121" spans="1:11" ht="18">
      <c r="A121" s="92" t="s">
        <v>241</v>
      </c>
      <c r="B121" s="77" t="s">
        <v>176</v>
      </c>
      <c r="C121" s="93" t="s">
        <v>31</v>
      </c>
      <c r="D121" s="67">
        <v>0.76</v>
      </c>
      <c r="E121" s="67">
        <v>0.54</v>
      </c>
      <c r="F121" s="67">
        <v>0.18</v>
      </c>
      <c r="G121" s="67">
        <v>0.76</v>
      </c>
      <c r="H121" s="67"/>
      <c r="I121" s="67">
        <v>0.76</v>
      </c>
      <c r="J121" s="67"/>
      <c r="K121" s="67"/>
    </row>
    <row r="122" spans="1:11" ht="18">
      <c r="A122" s="92" t="s">
        <v>242</v>
      </c>
      <c r="B122" s="77" t="s">
        <v>175</v>
      </c>
      <c r="C122" s="93" t="s">
        <v>31</v>
      </c>
      <c r="D122" s="67">
        <v>305.94</v>
      </c>
      <c r="E122" s="67">
        <v>88.18</v>
      </c>
      <c r="F122" s="67">
        <v>43.98000000000002</v>
      </c>
      <c r="G122" s="67">
        <v>305.94</v>
      </c>
      <c r="H122" s="67"/>
      <c r="I122" s="67">
        <v>305.94</v>
      </c>
      <c r="J122" s="67"/>
      <c r="K122" s="67"/>
    </row>
    <row r="123" spans="1:11" ht="18">
      <c r="A123" s="92" t="s">
        <v>243</v>
      </c>
      <c r="B123" s="77" t="s">
        <v>174</v>
      </c>
      <c r="C123" s="93" t="s">
        <v>31</v>
      </c>
      <c r="D123" s="67">
        <v>10391.96</v>
      </c>
      <c r="E123" s="67"/>
      <c r="F123" s="67"/>
      <c r="G123" s="67">
        <v>10391.96</v>
      </c>
      <c r="H123" s="67"/>
      <c r="I123" s="67">
        <v>10391.96</v>
      </c>
      <c r="J123" s="67"/>
      <c r="K123" s="67"/>
    </row>
    <row r="124" spans="1:11" ht="18">
      <c r="A124" s="92" t="s">
        <v>244</v>
      </c>
      <c r="B124" s="77" t="s">
        <v>171</v>
      </c>
      <c r="C124" s="93" t="s">
        <v>31</v>
      </c>
      <c r="D124" s="67">
        <v>202.25</v>
      </c>
      <c r="E124" s="67">
        <v>374.23</v>
      </c>
      <c r="F124" s="67"/>
      <c r="G124" s="67">
        <v>202.25</v>
      </c>
      <c r="H124" s="67"/>
      <c r="I124" s="67">
        <v>202.25</v>
      </c>
      <c r="J124" s="67"/>
      <c r="K124" s="67"/>
    </row>
    <row r="125" spans="1:11" ht="18">
      <c r="A125" s="92" t="s">
        <v>245</v>
      </c>
      <c r="B125" s="77" t="s">
        <v>149</v>
      </c>
      <c r="C125" s="93" t="s">
        <v>31</v>
      </c>
      <c r="D125" s="67">
        <v>18.99</v>
      </c>
      <c r="E125" s="67">
        <v>3.36</v>
      </c>
      <c r="F125" s="67">
        <v>1.53</v>
      </c>
      <c r="G125" s="67">
        <v>18.99</v>
      </c>
      <c r="H125" s="67"/>
      <c r="I125" s="67">
        <v>18.99</v>
      </c>
      <c r="J125" s="67"/>
      <c r="K125" s="67"/>
    </row>
    <row r="126" spans="1:12" ht="18">
      <c r="A126" s="92" t="s">
        <v>246</v>
      </c>
      <c r="B126" s="77" t="s">
        <v>198</v>
      </c>
      <c r="C126" s="93" t="s">
        <v>31</v>
      </c>
      <c r="D126" s="67">
        <v>5796.28</v>
      </c>
      <c r="E126" s="67">
        <v>9.31</v>
      </c>
      <c r="F126" s="67">
        <v>15.77</v>
      </c>
      <c r="G126" s="67">
        <v>1212.3899999999994</v>
      </c>
      <c r="H126" s="67">
        <v>-4583.89</v>
      </c>
      <c r="I126" s="67">
        <v>1212.3899999999994</v>
      </c>
      <c r="J126" s="67"/>
      <c r="K126" s="67"/>
      <c r="L126" s="113"/>
    </row>
    <row r="127" spans="1:11" ht="36">
      <c r="A127" s="92" t="s">
        <v>247</v>
      </c>
      <c r="B127" s="77" t="s">
        <v>37</v>
      </c>
      <c r="C127" s="93" t="s">
        <v>31</v>
      </c>
      <c r="D127" s="67">
        <v>104.46</v>
      </c>
      <c r="E127" s="67">
        <v>25.48</v>
      </c>
      <c r="F127" s="67">
        <v>12.74</v>
      </c>
      <c r="G127" s="67">
        <v>104.46</v>
      </c>
      <c r="H127" s="67"/>
      <c r="I127" s="67">
        <v>104.46</v>
      </c>
      <c r="J127" s="67"/>
      <c r="K127" s="67"/>
    </row>
    <row r="128" spans="1:11" ht="18">
      <c r="A128" s="92" t="s">
        <v>248</v>
      </c>
      <c r="B128" s="77" t="s">
        <v>228</v>
      </c>
      <c r="C128" s="93" t="s">
        <v>31</v>
      </c>
      <c r="D128" s="67">
        <v>339.37</v>
      </c>
      <c r="E128" s="67">
        <v>74.36</v>
      </c>
      <c r="F128" s="67">
        <v>68.43</v>
      </c>
      <c r="G128" s="67">
        <v>339.37</v>
      </c>
      <c r="H128" s="67"/>
      <c r="I128" s="67">
        <v>339.37</v>
      </c>
      <c r="J128" s="67"/>
      <c r="K128" s="67"/>
    </row>
    <row r="129" spans="1:11" ht="36">
      <c r="A129" s="92" t="s">
        <v>249</v>
      </c>
      <c r="B129" s="94" t="s">
        <v>232</v>
      </c>
      <c r="C129" s="103" t="s">
        <v>31</v>
      </c>
      <c r="D129" s="104">
        <v>4547.18</v>
      </c>
      <c r="E129" s="104">
        <v>1084.68</v>
      </c>
      <c r="F129" s="104">
        <v>452.06</v>
      </c>
      <c r="G129" s="104">
        <v>4689.03</v>
      </c>
      <c r="H129" s="104">
        <v>141.82000000000014</v>
      </c>
      <c r="I129" s="104">
        <v>4689</v>
      </c>
      <c r="J129" s="67"/>
      <c r="K129" s="133"/>
    </row>
    <row r="130" spans="1:11" ht="36">
      <c r="A130" s="92" t="s">
        <v>284</v>
      </c>
      <c r="B130" s="77" t="s">
        <v>229</v>
      </c>
      <c r="C130" s="93" t="s">
        <v>31</v>
      </c>
      <c r="D130" s="67">
        <v>1849.8</v>
      </c>
      <c r="E130" s="67">
        <v>569.96</v>
      </c>
      <c r="F130" s="67">
        <v>203.11</v>
      </c>
      <c r="G130" s="67">
        <v>1965.41</v>
      </c>
      <c r="H130" s="67">
        <v>115.61000000000013</v>
      </c>
      <c r="I130" s="67">
        <v>1965.41</v>
      </c>
      <c r="J130" s="67"/>
      <c r="K130" s="133"/>
    </row>
    <row r="131" spans="1:11" ht="36">
      <c r="A131" s="92" t="s">
        <v>285</v>
      </c>
      <c r="B131" s="77" t="s">
        <v>230</v>
      </c>
      <c r="C131" s="93" t="s">
        <v>31</v>
      </c>
      <c r="D131" s="67">
        <v>195.14999999999998</v>
      </c>
      <c r="E131" s="67">
        <v>63.080000000000005</v>
      </c>
      <c r="F131" s="67">
        <v>22.67</v>
      </c>
      <c r="G131" s="67">
        <v>221.36</v>
      </c>
      <c r="H131" s="67">
        <v>26.210000000000008</v>
      </c>
      <c r="I131" s="67">
        <v>221.36</v>
      </c>
      <c r="J131" s="67"/>
      <c r="K131" s="133"/>
    </row>
    <row r="132" spans="1:11" ht="36">
      <c r="A132" s="92" t="s">
        <v>286</v>
      </c>
      <c r="B132" s="77" t="s">
        <v>218</v>
      </c>
      <c r="C132" s="93" t="s">
        <v>31</v>
      </c>
      <c r="D132" s="67">
        <v>108.21</v>
      </c>
      <c r="E132" s="67">
        <v>28.19</v>
      </c>
      <c r="F132" s="67">
        <v>10.32</v>
      </c>
      <c r="G132" s="67">
        <v>102.5</v>
      </c>
      <c r="H132" s="67">
        <v>-5.709999999999994</v>
      </c>
      <c r="I132" s="67">
        <v>102.5</v>
      </c>
      <c r="J132" s="67"/>
      <c r="K132" s="133"/>
    </row>
    <row r="133" spans="1:11" ht="36">
      <c r="A133" s="92" t="s">
        <v>287</v>
      </c>
      <c r="B133" s="77" t="s">
        <v>217</v>
      </c>
      <c r="C133" s="93" t="s">
        <v>31</v>
      </c>
      <c r="D133" s="67">
        <v>49.94</v>
      </c>
      <c r="E133" s="67">
        <v>17.1</v>
      </c>
      <c r="F133" s="67">
        <v>6.25</v>
      </c>
      <c r="G133" s="67">
        <v>59.9</v>
      </c>
      <c r="H133" s="67">
        <v>9.96</v>
      </c>
      <c r="I133" s="67">
        <v>59.9</v>
      </c>
      <c r="J133" s="67"/>
      <c r="K133" s="133"/>
    </row>
    <row r="134" spans="1:11" ht="36">
      <c r="A134" s="92" t="s">
        <v>288</v>
      </c>
      <c r="B134" s="77" t="s">
        <v>231</v>
      </c>
      <c r="C134" s="93" t="s">
        <v>31</v>
      </c>
      <c r="D134" s="67">
        <v>37</v>
      </c>
      <c r="E134" s="67">
        <v>17.79</v>
      </c>
      <c r="F134" s="67">
        <v>6.1</v>
      </c>
      <c r="G134" s="67">
        <v>58.96</v>
      </c>
      <c r="H134" s="67">
        <v>21.96</v>
      </c>
      <c r="I134" s="67">
        <v>58.96</v>
      </c>
      <c r="J134" s="67"/>
      <c r="K134" s="67"/>
    </row>
    <row r="135" spans="1:11" ht="36">
      <c r="A135" s="92" t="s">
        <v>289</v>
      </c>
      <c r="B135" s="66" t="s">
        <v>124</v>
      </c>
      <c r="C135" s="13" t="s">
        <v>31</v>
      </c>
      <c r="D135" s="67">
        <v>1516.01</v>
      </c>
      <c r="E135" s="67">
        <v>252.67</v>
      </c>
      <c r="F135" s="67">
        <v>126.34</v>
      </c>
      <c r="G135" s="67">
        <v>1516.04</v>
      </c>
      <c r="H135" s="67"/>
      <c r="I135" s="67">
        <v>1516.01</v>
      </c>
      <c r="J135" s="123"/>
      <c r="K135" s="124">
        <v>-1516.01</v>
      </c>
    </row>
    <row r="136" spans="1:11" ht="36">
      <c r="A136" s="92" t="s">
        <v>290</v>
      </c>
      <c r="B136" s="66" t="s">
        <v>233</v>
      </c>
      <c r="C136" s="13" t="s">
        <v>31</v>
      </c>
      <c r="D136" s="67">
        <v>986.22</v>
      </c>
      <c r="E136" s="67">
        <v>198.97</v>
      </c>
      <c r="F136" s="67">
        <v>99.94</v>
      </c>
      <c r="G136" s="67">
        <v>986.22</v>
      </c>
      <c r="H136" s="67"/>
      <c r="I136" s="67">
        <v>986.22</v>
      </c>
      <c r="J136" s="123"/>
      <c r="K136" s="124"/>
    </row>
    <row r="137" spans="1:11" ht="18">
      <c r="A137" s="92" t="s">
        <v>250</v>
      </c>
      <c r="B137" s="77" t="s">
        <v>183</v>
      </c>
      <c r="C137" s="93" t="s">
        <v>31</v>
      </c>
      <c r="D137" s="67">
        <v>154.37</v>
      </c>
      <c r="E137" s="67">
        <v>0</v>
      </c>
      <c r="F137" s="67">
        <v>0</v>
      </c>
      <c r="G137" s="67">
        <v>154.37</v>
      </c>
      <c r="H137" s="67"/>
      <c r="I137" s="67">
        <v>154.37</v>
      </c>
      <c r="J137" s="67"/>
      <c r="K137" s="133"/>
    </row>
    <row r="138" spans="1:11" ht="36">
      <c r="A138" s="92" t="s">
        <v>258</v>
      </c>
      <c r="B138" s="77" t="s">
        <v>184</v>
      </c>
      <c r="C138" s="93" t="s">
        <v>31</v>
      </c>
      <c r="D138" s="67">
        <v>82.12</v>
      </c>
      <c r="E138" s="67">
        <v>0</v>
      </c>
      <c r="F138" s="67">
        <v>0</v>
      </c>
      <c r="G138" s="67">
        <v>82.12</v>
      </c>
      <c r="H138" s="67"/>
      <c r="I138" s="67">
        <v>82.12</v>
      </c>
      <c r="J138" s="67"/>
      <c r="K138" s="133"/>
    </row>
    <row r="139" spans="1:11" ht="18">
      <c r="A139" s="92" t="s">
        <v>259</v>
      </c>
      <c r="B139" s="77" t="s">
        <v>147</v>
      </c>
      <c r="C139" s="93" t="s">
        <v>31</v>
      </c>
      <c r="D139" s="67">
        <v>886.38</v>
      </c>
      <c r="E139" s="67">
        <v>191.94</v>
      </c>
      <c r="F139" s="67">
        <v>155.53</v>
      </c>
      <c r="G139" s="67">
        <v>886.38</v>
      </c>
      <c r="H139" s="67"/>
      <c r="I139" s="67">
        <v>886.38</v>
      </c>
      <c r="J139" s="67"/>
      <c r="K139" s="133"/>
    </row>
    <row r="140" spans="1:11" ht="18">
      <c r="A140" s="92" t="s">
        <v>260</v>
      </c>
      <c r="B140" s="77" t="s">
        <v>185</v>
      </c>
      <c r="C140" s="93" t="s">
        <v>31</v>
      </c>
      <c r="D140" s="67">
        <v>110.89</v>
      </c>
      <c r="E140" s="67">
        <v>0</v>
      </c>
      <c r="F140" s="67">
        <v>0</v>
      </c>
      <c r="G140" s="67">
        <v>110.89</v>
      </c>
      <c r="H140" s="67"/>
      <c r="I140" s="67">
        <v>110.89</v>
      </c>
      <c r="J140" s="67"/>
      <c r="K140" s="133"/>
    </row>
    <row r="141" spans="1:11" ht="34.5">
      <c r="A141" s="92" t="s">
        <v>261</v>
      </c>
      <c r="B141" s="86" t="s">
        <v>88</v>
      </c>
      <c r="C141" s="59" t="s">
        <v>31</v>
      </c>
      <c r="D141" s="61">
        <v>112997.14</v>
      </c>
      <c r="E141" s="61">
        <v>60307.74</v>
      </c>
      <c r="F141" s="61">
        <v>0</v>
      </c>
      <c r="G141" s="61">
        <v>174695.42</v>
      </c>
      <c r="H141" s="61">
        <v>61698.28</v>
      </c>
      <c r="I141" s="61">
        <v>174695.42</v>
      </c>
      <c r="J141" s="61">
        <v>0</v>
      </c>
      <c r="K141" s="67"/>
    </row>
    <row r="142" spans="1:11" ht="36">
      <c r="A142" s="92" t="s">
        <v>291</v>
      </c>
      <c r="B142" s="95" t="s">
        <v>89</v>
      </c>
      <c r="C142" s="93" t="s">
        <v>31</v>
      </c>
      <c r="D142" s="67">
        <v>112944.19</v>
      </c>
      <c r="E142" s="67">
        <v>60307.74</v>
      </c>
      <c r="F142" s="67">
        <v>0</v>
      </c>
      <c r="G142" s="67">
        <v>174642.47</v>
      </c>
      <c r="H142" s="67">
        <v>61698.28</v>
      </c>
      <c r="I142" s="67">
        <v>174642.47</v>
      </c>
      <c r="J142" s="67"/>
      <c r="K142" s="67"/>
    </row>
    <row r="143" spans="1:11" ht="36">
      <c r="A143" s="92" t="s">
        <v>292</v>
      </c>
      <c r="B143" s="95" t="s">
        <v>90</v>
      </c>
      <c r="C143" s="93" t="s">
        <v>31</v>
      </c>
      <c r="D143" s="67">
        <v>52.95</v>
      </c>
      <c r="E143" s="67">
        <v>0</v>
      </c>
      <c r="F143" s="67">
        <v>0</v>
      </c>
      <c r="G143" s="67">
        <v>52.95</v>
      </c>
      <c r="H143" s="67"/>
      <c r="I143" s="67">
        <v>52.95</v>
      </c>
      <c r="J143" s="67"/>
      <c r="K143" s="67"/>
    </row>
    <row r="144" spans="1:11" ht="18">
      <c r="A144" s="92" t="s">
        <v>262</v>
      </c>
      <c r="B144" s="77" t="s">
        <v>199</v>
      </c>
      <c r="C144" s="93" t="s">
        <v>31</v>
      </c>
      <c r="D144" s="67">
        <v>333.53</v>
      </c>
      <c r="E144" s="67">
        <v>0</v>
      </c>
      <c r="F144" s="67">
        <v>0</v>
      </c>
      <c r="G144" s="67">
        <v>333.53</v>
      </c>
      <c r="H144" s="67"/>
      <c r="I144" s="67">
        <v>333.53</v>
      </c>
      <c r="J144" s="67"/>
      <c r="K144" s="67"/>
    </row>
    <row r="145" spans="1:11" ht="18">
      <c r="A145" s="92" t="s">
        <v>265</v>
      </c>
      <c r="B145" s="77" t="s">
        <v>200</v>
      </c>
      <c r="C145" s="93" t="s">
        <v>31</v>
      </c>
      <c r="D145" s="67">
        <v>206.76</v>
      </c>
      <c r="E145" s="67">
        <v>0</v>
      </c>
      <c r="F145" s="67">
        <v>0</v>
      </c>
      <c r="G145" s="67">
        <v>206.76</v>
      </c>
      <c r="H145" s="67"/>
      <c r="I145" s="67">
        <v>206.76</v>
      </c>
      <c r="J145" s="67"/>
      <c r="K145" s="67"/>
    </row>
    <row r="146" spans="1:11" ht="18">
      <c r="A146" s="73" t="s">
        <v>38</v>
      </c>
      <c r="B146" s="63" t="s">
        <v>39</v>
      </c>
      <c r="C146" s="57" t="s">
        <v>31</v>
      </c>
      <c r="D146" s="61">
        <v>66173.33</v>
      </c>
      <c r="E146" s="61">
        <v>15789.029999999999</v>
      </c>
      <c r="F146" s="61">
        <v>8507.19</v>
      </c>
      <c r="G146" s="61">
        <v>72208.51</v>
      </c>
      <c r="H146" s="61">
        <v>15157.809999999998</v>
      </c>
      <c r="I146" s="61">
        <v>81331.14</v>
      </c>
      <c r="J146" s="61">
        <v>65768.3</v>
      </c>
      <c r="K146" s="132">
        <v>-14302.130000000003</v>
      </c>
    </row>
    <row r="147" spans="1:12" ht="18">
      <c r="A147" s="50" t="s">
        <v>40</v>
      </c>
      <c r="B147" s="66" t="s">
        <v>129</v>
      </c>
      <c r="C147" s="13" t="s">
        <v>31</v>
      </c>
      <c r="D147" s="67">
        <v>53665.58</v>
      </c>
      <c r="E147" s="67">
        <v>10172.96</v>
      </c>
      <c r="F147" s="67">
        <v>5113.61</v>
      </c>
      <c r="G147" s="67">
        <v>57019.68</v>
      </c>
      <c r="H147" s="67">
        <v>3354.0999999999985</v>
      </c>
      <c r="I147" s="67">
        <v>57019.68</v>
      </c>
      <c r="J147" s="123">
        <v>58292.34</v>
      </c>
      <c r="K147" s="131">
        <v>1272.6599999999962</v>
      </c>
      <c r="L147" s="8"/>
    </row>
    <row r="148" spans="1:11" ht="18">
      <c r="A148" s="50" t="s">
        <v>41</v>
      </c>
      <c r="B148" s="66" t="s">
        <v>216</v>
      </c>
      <c r="C148" s="13" t="s">
        <v>31</v>
      </c>
      <c r="D148" s="67">
        <v>5661.719999999999</v>
      </c>
      <c r="E148" s="67">
        <v>1105.15</v>
      </c>
      <c r="F148" s="67">
        <v>570.4000000000001</v>
      </c>
      <c r="G148" s="67">
        <v>6423.29</v>
      </c>
      <c r="H148" s="67">
        <v>761.5700000000006</v>
      </c>
      <c r="I148" s="67">
        <v>6423.29</v>
      </c>
      <c r="J148" s="123">
        <v>5537.77</v>
      </c>
      <c r="K148" s="131">
        <v>-885.5199999999995</v>
      </c>
    </row>
    <row r="149" spans="1:11" ht="18">
      <c r="A149" s="50" t="s">
        <v>267</v>
      </c>
      <c r="B149" s="77" t="s">
        <v>218</v>
      </c>
      <c r="C149" s="13"/>
      <c r="D149" s="67">
        <v>3139.44</v>
      </c>
      <c r="E149" s="67">
        <v>499.08</v>
      </c>
      <c r="F149" s="67">
        <v>261.98</v>
      </c>
      <c r="G149" s="67">
        <v>3025.2</v>
      </c>
      <c r="H149" s="67">
        <v>-114.24000000000024</v>
      </c>
      <c r="I149" s="67">
        <v>3025.2</v>
      </c>
      <c r="J149" s="123"/>
      <c r="K149" s="131"/>
    </row>
    <row r="150" spans="1:11" ht="18">
      <c r="A150" s="50" t="s">
        <v>268</v>
      </c>
      <c r="B150" s="77" t="s">
        <v>217</v>
      </c>
      <c r="C150" s="13"/>
      <c r="D150" s="67">
        <v>1448.97</v>
      </c>
      <c r="E150" s="67">
        <v>304.85</v>
      </c>
      <c r="F150" s="67">
        <v>159.18</v>
      </c>
      <c r="G150" s="67">
        <v>1687.5</v>
      </c>
      <c r="H150" s="67">
        <v>238.52999999999997</v>
      </c>
      <c r="I150" s="67">
        <v>1687.5</v>
      </c>
      <c r="J150" s="123"/>
      <c r="K150" s="131"/>
    </row>
    <row r="151" spans="1:11" ht="36">
      <c r="A151" s="50" t="s">
        <v>269</v>
      </c>
      <c r="B151" s="77" t="s">
        <v>231</v>
      </c>
      <c r="C151" s="13"/>
      <c r="D151" s="67">
        <v>1073.31</v>
      </c>
      <c r="E151" s="67">
        <v>301.22</v>
      </c>
      <c r="F151" s="67">
        <v>149.24</v>
      </c>
      <c r="G151" s="67">
        <v>1710.59</v>
      </c>
      <c r="H151" s="67">
        <v>637.28</v>
      </c>
      <c r="I151" s="67">
        <v>1710.59</v>
      </c>
      <c r="J151" s="123"/>
      <c r="K151" s="131"/>
    </row>
    <row r="152" spans="1:11" ht="18">
      <c r="A152" s="50" t="s">
        <v>42</v>
      </c>
      <c r="B152" s="66" t="s">
        <v>237</v>
      </c>
      <c r="C152" s="13"/>
      <c r="D152" s="67">
        <v>1260.71</v>
      </c>
      <c r="E152" s="67">
        <v>186</v>
      </c>
      <c r="F152" s="67">
        <v>95.16</v>
      </c>
      <c r="G152" s="67"/>
      <c r="H152" s="67"/>
      <c r="I152" s="67">
        <v>1260.71</v>
      </c>
      <c r="J152" s="123"/>
      <c r="K152" s="131"/>
    </row>
    <row r="153" spans="1:11" ht="18">
      <c r="A153" s="50" t="s">
        <v>43</v>
      </c>
      <c r="B153" s="66" t="s">
        <v>130</v>
      </c>
      <c r="C153" s="13" t="s">
        <v>31</v>
      </c>
      <c r="D153" s="67">
        <v>20.76</v>
      </c>
      <c r="E153" s="67">
        <v>3.77</v>
      </c>
      <c r="F153" s="67"/>
      <c r="G153" s="67"/>
      <c r="H153" s="67"/>
      <c r="I153" s="67">
        <v>20.76</v>
      </c>
      <c r="J153" s="123"/>
      <c r="K153" s="124">
        <v>-20.76</v>
      </c>
    </row>
    <row r="154" spans="1:12" ht="18">
      <c r="A154" s="50" t="s">
        <v>44</v>
      </c>
      <c r="B154" s="66" t="s">
        <v>126</v>
      </c>
      <c r="C154" s="13" t="s">
        <v>31</v>
      </c>
      <c r="D154" s="67">
        <v>355.63</v>
      </c>
      <c r="E154" s="67">
        <v>51.18</v>
      </c>
      <c r="F154" s="67">
        <v>22.47</v>
      </c>
      <c r="G154" s="67">
        <v>141.06</v>
      </c>
      <c r="H154" s="67"/>
      <c r="I154" s="67">
        <v>355.63</v>
      </c>
      <c r="J154" s="123">
        <v>341.72</v>
      </c>
      <c r="K154" s="124">
        <v>-13.909999999999968</v>
      </c>
      <c r="L154" s="2"/>
    </row>
    <row r="155" spans="1:12" ht="18">
      <c r="A155" s="50" t="s">
        <v>45</v>
      </c>
      <c r="B155" s="66" t="s">
        <v>127</v>
      </c>
      <c r="C155" s="13" t="s">
        <v>31</v>
      </c>
      <c r="D155" s="67">
        <v>314.63</v>
      </c>
      <c r="E155" s="67">
        <v>3.69</v>
      </c>
      <c r="F155" s="67">
        <v>2.09</v>
      </c>
      <c r="G155" s="67">
        <v>314.63</v>
      </c>
      <c r="H155" s="67"/>
      <c r="I155" s="67">
        <v>314.63</v>
      </c>
      <c r="J155" s="123">
        <v>485.01</v>
      </c>
      <c r="K155" s="124">
        <v>170.38</v>
      </c>
      <c r="L155" s="2"/>
    </row>
    <row r="156" spans="1:11" ht="18">
      <c r="A156" s="50" t="s">
        <v>11</v>
      </c>
      <c r="B156" s="66" t="s">
        <v>131</v>
      </c>
      <c r="C156" s="13" t="s">
        <v>31</v>
      </c>
      <c r="D156" s="67">
        <v>2218.63</v>
      </c>
      <c r="E156" s="67">
        <v>34.64</v>
      </c>
      <c r="F156" s="67">
        <v>16.36</v>
      </c>
      <c r="G156" s="67"/>
      <c r="H156" s="67"/>
      <c r="I156" s="67">
        <v>2218.63</v>
      </c>
      <c r="J156" s="123">
        <v>1111.46</v>
      </c>
      <c r="K156" s="124">
        <v>-1107.17</v>
      </c>
    </row>
    <row r="157" spans="1:11" ht="18">
      <c r="A157" s="50" t="s">
        <v>14</v>
      </c>
      <c r="B157" s="66" t="s">
        <v>276</v>
      </c>
      <c r="C157" s="13" t="s">
        <v>31</v>
      </c>
      <c r="D157" s="67">
        <v>2675.6699999999996</v>
      </c>
      <c r="E157" s="67">
        <v>4421.41</v>
      </c>
      <c r="F157" s="67">
        <v>2211.86</v>
      </c>
      <c r="G157" s="67">
        <v>1886.5599999999997</v>
      </c>
      <c r="H157" s="67">
        <v>11042.14</v>
      </c>
      <c r="I157" s="67">
        <v>13717.81</v>
      </c>
      <c r="J157" s="67">
        <v>0</v>
      </c>
      <c r="K157" s="124">
        <v>-13717.81</v>
      </c>
    </row>
    <row r="158" spans="1:12" ht="18">
      <c r="A158" s="92" t="s">
        <v>189</v>
      </c>
      <c r="B158" s="77" t="s">
        <v>178</v>
      </c>
      <c r="C158" s="93" t="s">
        <v>31</v>
      </c>
      <c r="D158" s="67">
        <v>1366.09</v>
      </c>
      <c r="E158" s="67">
        <v>362.86</v>
      </c>
      <c r="F158" s="67">
        <v>181.43</v>
      </c>
      <c r="G158" s="67">
        <v>1088.58</v>
      </c>
      <c r="H158" s="67"/>
      <c r="I158" s="67">
        <v>1366.09</v>
      </c>
      <c r="J158" s="67"/>
      <c r="K158" s="124"/>
      <c r="L158" s="140"/>
    </row>
    <row r="159" spans="1:12" ht="18">
      <c r="A159" s="92" t="s">
        <v>190</v>
      </c>
      <c r="B159" s="77" t="s">
        <v>146</v>
      </c>
      <c r="C159" s="93" t="s">
        <v>31</v>
      </c>
      <c r="D159" s="67">
        <v>134.57</v>
      </c>
      <c r="E159" s="67">
        <v>65.58</v>
      </c>
      <c r="F159" s="67">
        <v>13.32</v>
      </c>
      <c r="G159" s="67">
        <v>118.86</v>
      </c>
      <c r="H159" s="67"/>
      <c r="I159" s="67">
        <v>134.57</v>
      </c>
      <c r="J159" s="67"/>
      <c r="K159" s="124"/>
      <c r="L159" s="140"/>
    </row>
    <row r="160" spans="1:12" ht="18">
      <c r="A160" s="92" t="s">
        <v>191</v>
      </c>
      <c r="B160" s="77" t="s">
        <v>179</v>
      </c>
      <c r="C160" s="93" t="s">
        <v>31</v>
      </c>
      <c r="D160" s="67">
        <v>955.03</v>
      </c>
      <c r="E160" s="67">
        <v>206.12</v>
      </c>
      <c r="F160" s="67">
        <v>116.82</v>
      </c>
      <c r="G160" s="67">
        <v>673.4</v>
      </c>
      <c r="H160" s="67"/>
      <c r="I160" s="67">
        <v>955.03</v>
      </c>
      <c r="J160" s="67"/>
      <c r="K160" s="124"/>
      <c r="L160" s="140"/>
    </row>
    <row r="161" spans="1:12" ht="18">
      <c r="A161" s="92" t="s">
        <v>192</v>
      </c>
      <c r="B161" s="77" t="s">
        <v>180</v>
      </c>
      <c r="C161" s="93" t="s">
        <v>31</v>
      </c>
      <c r="D161" s="67">
        <v>5.27</v>
      </c>
      <c r="E161" s="67">
        <v>0</v>
      </c>
      <c r="F161" s="67">
        <v>0</v>
      </c>
      <c r="G161" s="67">
        <v>0</v>
      </c>
      <c r="H161" s="67">
        <v>-5.27</v>
      </c>
      <c r="I161" s="67">
        <v>0</v>
      </c>
      <c r="J161" s="67"/>
      <c r="K161" s="124"/>
      <c r="L161" s="140"/>
    </row>
    <row r="162" spans="1:12" ht="18">
      <c r="A162" s="92" t="s">
        <v>193</v>
      </c>
      <c r="B162" s="77" t="s">
        <v>176</v>
      </c>
      <c r="C162" s="93" t="s">
        <v>31</v>
      </c>
      <c r="D162" s="67">
        <v>21.46</v>
      </c>
      <c r="E162" s="67">
        <v>1.07</v>
      </c>
      <c r="F162" s="67">
        <v>0.36</v>
      </c>
      <c r="G162" s="67">
        <v>5.720000000000001</v>
      </c>
      <c r="H162" s="67"/>
      <c r="I162" s="67">
        <v>21.46</v>
      </c>
      <c r="J162" s="67"/>
      <c r="K162" s="124"/>
      <c r="L162" s="140"/>
    </row>
    <row r="163" spans="1:12" ht="18">
      <c r="A163" s="92" t="s">
        <v>194</v>
      </c>
      <c r="B163" s="77" t="s">
        <v>152</v>
      </c>
      <c r="C163" s="93" t="s">
        <v>31</v>
      </c>
      <c r="D163" s="67">
        <v>193.25</v>
      </c>
      <c r="E163" s="67">
        <v>0</v>
      </c>
      <c r="F163" s="67"/>
      <c r="G163" s="67">
        <v>0</v>
      </c>
      <c r="H163" s="67"/>
      <c r="I163" s="67">
        <v>193.25</v>
      </c>
      <c r="J163" s="67"/>
      <c r="K163" s="124"/>
      <c r="L163" s="140"/>
    </row>
    <row r="164" spans="1:13" ht="18">
      <c r="A164" s="92" t="s">
        <v>204</v>
      </c>
      <c r="B164" s="77" t="s">
        <v>171</v>
      </c>
      <c r="C164" s="93" t="s">
        <v>31</v>
      </c>
      <c r="D164" s="67"/>
      <c r="E164" s="67">
        <v>3785.78</v>
      </c>
      <c r="F164" s="67">
        <v>1899.93</v>
      </c>
      <c r="G164" s="67"/>
      <c r="H164" s="67">
        <v>11047.41</v>
      </c>
      <c r="I164" s="67">
        <v>11047.41</v>
      </c>
      <c r="J164" s="67"/>
      <c r="K164" s="124"/>
      <c r="L164" s="135"/>
      <c r="M164" s="141"/>
    </row>
    <row r="165" spans="1:13" ht="17.25">
      <c r="A165" s="78" t="s">
        <v>16</v>
      </c>
      <c r="B165" s="79" t="s">
        <v>23</v>
      </c>
      <c r="C165" s="57" t="s">
        <v>31</v>
      </c>
      <c r="D165" s="61">
        <v>2024128.87</v>
      </c>
      <c r="E165" s="61">
        <v>407614.02</v>
      </c>
      <c r="F165" s="61">
        <v>141937.8</v>
      </c>
      <c r="G165" s="61" t="e">
        <v>#REF!</v>
      </c>
      <c r="H165" s="61">
        <v>80653.89996065352</v>
      </c>
      <c r="I165" s="61">
        <v>2104782.769960654</v>
      </c>
      <c r="J165" s="61" t="e">
        <v>#REF!</v>
      </c>
      <c r="K165" s="144" t="e">
        <v>#REF!</v>
      </c>
      <c r="L165" s="135"/>
      <c r="M165" s="141"/>
    </row>
    <row r="166" spans="1:13" ht="18">
      <c r="A166" s="78" t="s">
        <v>17</v>
      </c>
      <c r="B166" s="79" t="s">
        <v>111</v>
      </c>
      <c r="C166" s="57" t="s">
        <v>31</v>
      </c>
      <c r="D166" s="61">
        <v>135657.61</v>
      </c>
      <c r="E166" s="61">
        <v>-68921.38</v>
      </c>
      <c r="F166" s="61">
        <v>31007.890000000014</v>
      </c>
      <c r="G166" s="61"/>
      <c r="H166" s="61"/>
      <c r="I166" s="61">
        <v>135657.61</v>
      </c>
      <c r="K166" s="124"/>
      <c r="L166" s="135"/>
      <c r="M166" s="113"/>
    </row>
    <row r="167" spans="1:13" ht="18">
      <c r="A167" s="78" t="s">
        <v>19</v>
      </c>
      <c r="B167" s="79" t="s">
        <v>91</v>
      </c>
      <c r="C167" s="59" t="s">
        <v>31</v>
      </c>
      <c r="D167" s="61">
        <v>2159786.48</v>
      </c>
      <c r="E167" s="61">
        <v>338692.64</v>
      </c>
      <c r="F167" s="61">
        <v>172945.69</v>
      </c>
      <c r="G167" s="61"/>
      <c r="H167" s="61"/>
      <c r="I167" s="61">
        <v>2240440.38</v>
      </c>
      <c r="J167" s="125"/>
      <c r="K167" s="99"/>
      <c r="L167" s="114"/>
      <c r="M167" s="6"/>
    </row>
    <row r="168" spans="1:13" ht="69">
      <c r="A168" s="78"/>
      <c r="B168" s="91" t="s">
        <v>293</v>
      </c>
      <c r="C168" s="59" t="s">
        <v>31</v>
      </c>
      <c r="D168" s="61">
        <v>183418.99</v>
      </c>
      <c r="E168" s="61"/>
      <c r="F168" s="61"/>
      <c r="G168" s="61"/>
      <c r="H168" s="61"/>
      <c r="I168" s="61">
        <v>183418.99</v>
      </c>
      <c r="J168" s="125"/>
      <c r="K168" s="99"/>
      <c r="L168" s="114"/>
      <c r="M168" s="6"/>
    </row>
    <row r="169" spans="1:13" ht="69">
      <c r="A169" s="78"/>
      <c r="B169" s="91" t="s">
        <v>274</v>
      </c>
      <c r="C169" s="59" t="s">
        <v>31</v>
      </c>
      <c r="D169" s="61">
        <v>16697.1</v>
      </c>
      <c r="E169" s="61"/>
      <c r="F169" s="61"/>
      <c r="G169" s="61"/>
      <c r="H169" s="61"/>
      <c r="I169" s="61">
        <v>16697.1</v>
      </c>
      <c r="J169" s="125"/>
      <c r="K169" s="99"/>
      <c r="L169" s="137"/>
      <c r="M169" s="6"/>
    </row>
    <row r="170" spans="1:13" ht="51.75">
      <c r="A170" s="78"/>
      <c r="B170" s="91" t="s">
        <v>275</v>
      </c>
      <c r="C170" s="59" t="s">
        <v>31</v>
      </c>
      <c r="D170" s="61">
        <v>1959670.39</v>
      </c>
      <c r="E170" s="61">
        <v>1959652.9473</v>
      </c>
      <c r="F170" s="61">
        <v>-17.442699999781325</v>
      </c>
      <c r="G170" s="61">
        <v>2040324.3636</v>
      </c>
      <c r="H170" s="61">
        <v>80653.90000000014</v>
      </c>
      <c r="I170" s="61">
        <v>2040324.29</v>
      </c>
      <c r="J170" s="125"/>
      <c r="K170" s="99"/>
      <c r="L170" s="136"/>
      <c r="M170" s="6"/>
    </row>
    <row r="171" spans="1:13" ht="288">
      <c r="A171" s="78"/>
      <c r="B171" s="81" t="s">
        <v>212</v>
      </c>
      <c r="C171" s="59" t="s">
        <v>31</v>
      </c>
      <c r="D171" s="61">
        <v>915730.71</v>
      </c>
      <c r="E171" s="61">
        <v>915718.7963</v>
      </c>
      <c r="F171" s="61"/>
      <c r="G171" s="61">
        <v>953346.8945</v>
      </c>
      <c r="H171" s="61">
        <v>37616.11450000014</v>
      </c>
      <c r="I171" s="61">
        <v>953346.8245000001</v>
      </c>
      <c r="J171" s="125"/>
      <c r="K171" s="99"/>
      <c r="L171" s="114"/>
      <c r="M171" s="6"/>
    </row>
    <row r="172" spans="1:13" ht="18">
      <c r="A172" s="78"/>
      <c r="B172" s="81" t="s">
        <v>271</v>
      </c>
      <c r="C172" s="59" t="s">
        <v>31</v>
      </c>
      <c r="D172" s="61">
        <v>829746.64</v>
      </c>
      <c r="E172" s="61">
        <v>829735.473</v>
      </c>
      <c r="F172" s="61"/>
      <c r="G172" s="61">
        <v>858610.1034</v>
      </c>
      <c r="H172" s="61">
        <v>28863.463400000008</v>
      </c>
      <c r="I172" s="61">
        <v>858610.1034</v>
      </c>
      <c r="J172" s="125"/>
      <c r="K172" s="99"/>
      <c r="L172" s="114"/>
      <c r="M172" s="6"/>
    </row>
    <row r="173" spans="1:13" ht="36">
      <c r="A173" s="78"/>
      <c r="B173" s="81" t="s">
        <v>272</v>
      </c>
      <c r="C173" s="59" t="s">
        <v>31</v>
      </c>
      <c r="D173" s="61">
        <v>214193.06</v>
      </c>
      <c r="E173" s="61">
        <v>214198.678</v>
      </c>
      <c r="F173" s="61"/>
      <c r="G173" s="61">
        <v>228367.3657</v>
      </c>
      <c r="H173" s="61">
        <v>14174.305699999997</v>
      </c>
      <c r="I173" s="61">
        <v>228367.3657</v>
      </c>
      <c r="J173" s="125"/>
      <c r="K173" s="99"/>
      <c r="L173" s="114"/>
      <c r="M173" s="6"/>
    </row>
    <row r="174" spans="1:9" ht="17.25">
      <c r="A174" s="55" t="s">
        <v>15</v>
      </c>
      <c r="B174" s="79" t="s">
        <v>20</v>
      </c>
      <c r="C174" s="57" t="s">
        <v>36</v>
      </c>
      <c r="D174" s="61">
        <v>21662.730000000003</v>
      </c>
      <c r="E174" s="61">
        <v>3733.0200000000004</v>
      </c>
      <c r="F174" s="61">
        <v>1875.5100000000002</v>
      </c>
      <c r="G174" s="61">
        <v>22554.3</v>
      </c>
      <c r="H174" s="61">
        <v>891.5699999999961</v>
      </c>
      <c r="I174" s="61">
        <v>22554.3</v>
      </c>
    </row>
    <row r="175" spans="1:13" ht="288">
      <c r="A175" s="50"/>
      <c r="B175" s="81" t="s">
        <v>212</v>
      </c>
      <c r="C175" s="13" t="s">
        <v>36</v>
      </c>
      <c r="D175" s="67">
        <v>16291.03</v>
      </c>
      <c r="E175" s="67">
        <v>2776.15</v>
      </c>
      <c r="F175" s="67">
        <v>1387.94</v>
      </c>
      <c r="G175" s="67">
        <v>16960.45</v>
      </c>
      <c r="H175" s="67">
        <v>669.4200000000001</v>
      </c>
      <c r="I175" s="67">
        <v>16960.45</v>
      </c>
      <c r="L175" s="138"/>
      <c r="M175" s="139"/>
    </row>
    <row r="176" spans="1:13" ht="18">
      <c r="A176" s="50"/>
      <c r="B176" s="81" t="s">
        <v>271</v>
      </c>
      <c r="C176" s="13" t="s">
        <v>36</v>
      </c>
      <c r="D176" s="67">
        <v>4248.3</v>
      </c>
      <c r="E176" s="67">
        <v>775.24</v>
      </c>
      <c r="F176" s="67">
        <v>393.13</v>
      </c>
      <c r="G176" s="67">
        <v>4396.14</v>
      </c>
      <c r="H176" s="67">
        <v>147.84000000000015</v>
      </c>
      <c r="I176" s="67">
        <v>4396.14</v>
      </c>
      <c r="L176" s="138"/>
      <c r="M176" s="139"/>
    </row>
    <row r="177" spans="1:13" ht="36">
      <c r="A177" s="50"/>
      <c r="B177" s="81" t="s">
        <v>272</v>
      </c>
      <c r="C177" s="13" t="s">
        <v>270</v>
      </c>
      <c r="D177" s="67">
        <v>1123.4</v>
      </c>
      <c r="E177" s="67">
        <v>181.63</v>
      </c>
      <c r="F177" s="67">
        <v>94.44</v>
      </c>
      <c r="G177" s="67">
        <v>1197.71</v>
      </c>
      <c r="H177" s="67">
        <v>74.30999999999995</v>
      </c>
      <c r="I177" s="67">
        <v>1197.71</v>
      </c>
      <c r="L177" s="138"/>
      <c r="M177" s="139"/>
    </row>
    <row r="178" spans="1:13" ht="18">
      <c r="A178" s="78" t="s">
        <v>25</v>
      </c>
      <c r="B178" s="79" t="s">
        <v>181</v>
      </c>
      <c r="C178" s="57" t="s">
        <v>26</v>
      </c>
      <c r="D178" s="61">
        <v>90.46276208031027</v>
      </c>
      <c r="E178" s="61"/>
      <c r="F178" s="61"/>
      <c r="G178" s="61"/>
      <c r="H178" s="120"/>
      <c r="I178" s="61">
        <v>90.4627625419326</v>
      </c>
      <c r="J178" s="124"/>
      <c r="K178" s="127"/>
      <c r="L178" s="6"/>
      <c r="M178" s="6"/>
    </row>
    <row r="179" spans="1:11" ht="288">
      <c r="A179" s="50"/>
      <c r="B179" s="81" t="s">
        <v>212</v>
      </c>
      <c r="C179" s="57" t="s">
        <v>26</v>
      </c>
      <c r="D179" s="84">
        <v>56.21</v>
      </c>
      <c r="E179" s="84"/>
      <c r="F179" s="84"/>
      <c r="G179" s="84">
        <v>56.21</v>
      </c>
      <c r="H179" s="67"/>
      <c r="I179" s="84">
        <v>56.21</v>
      </c>
      <c r="K179" s="129"/>
    </row>
    <row r="180" spans="1:13" ht="18">
      <c r="A180" s="85"/>
      <c r="B180" s="81" t="s">
        <v>85</v>
      </c>
      <c r="C180" s="57" t="s">
        <v>26</v>
      </c>
      <c r="D180" s="84">
        <v>195.31</v>
      </c>
      <c r="E180" s="84"/>
      <c r="F180" s="84"/>
      <c r="G180" s="84">
        <v>195.31</v>
      </c>
      <c r="H180" s="67"/>
      <c r="I180" s="84">
        <v>195.31</v>
      </c>
      <c r="J180" s="124"/>
      <c r="K180" s="127"/>
      <c r="L180" s="6"/>
      <c r="M180" s="6"/>
    </row>
    <row r="181" spans="1:13" ht="36">
      <c r="A181" s="85"/>
      <c r="B181" s="81" t="s">
        <v>213</v>
      </c>
      <c r="C181" s="57" t="s">
        <v>26</v>
      </c>
      <c r="D181" s="84">
        <v>190.67</v>
      </c>
      <c r="E181" s="84"/>
      <c r="F181" s="84"/>
      <c r="G181" s="84">
        <v>190.67</v>
      </c>
      <c r="H181" s="67"/>
      <c r="I181" s="84">
        <v>190.67</v>
      </c>
      <c r="J181" s="124"/>
      <c r="K181" s="128"/>
      <c r="L181" s="6"/>
      <c r="M181" s="6"/>
    </row>
    <row r="182" spans="1:13" ht="18">
      <c r="A182" s="244"/>
      <c r="B182" s="245"/>
      <c r="C182" s="245"/>
      <c r="D182" s="245"/>
      <c r="E182" s="245"/>
      <c r="F182" s="245"/>
      <c r="G182" s="245"/>
      <c r="H182" s="245"/>
      <c r="I182" s="246"/>
      <c r="J182" s="124"/>
      <c r="K182" s="128"/>
      <c r="L182" s="6"/>
      <c r="M182" s="6"/>
    </row>
    <row r="183" spans="1:13" ht="18">
      <c r="A183" s="85"/>
      <c r="B183" s="86" t="s">
        <v>75</v>
      </c>
      <c r="C183" s="57"/>
      <c r="D183" s="87"/>
      <c r="E183" s="87"/>
      <c r="F183" s="87"/>
      <c r="G183" s="87"/>
      <c r="H183" s="47"/>
      <c r="I183" s="47"/>
      <c r="J183" s="124"/>
      <c r="K183" s="127"/>
      <c r="L183" s="6"/>
      <c r="M183" s="6"/>
    </row>
    <row r="184" spans="1:13" ht="18">
      <c r="A184" s="51" t="s">
        <v>76</v>
      </c>
      <c r="B184" s="47" t="s">
        <v>77</v>
      </c>
      <c r="C184" s="57" t="s">
        <v>78</v>
      </c>
      <c r="D184" s="55">
        <v>472.3</v>
      </c>
      <c r="E184" s="55">
        <v>1</v>
      </c>
      <c r="F184" s="55"/>
      <c r="G184" s="55"/>
      <c r="H184" s="55">
        <v>0</v>
      </c>
      <c r="I184" s="121">
        <v>472.3</v>
      </c>
      <c r="J184" s="124"/>
      <c r="K184" s="127"/>
      <c r="L184" s="6"/>
      <c r="M184" s="6"/>
    </row>
    <row r="185" spans="1:13" ht="18">
      <c r="A185" s="47"/>
      <c r="B185" s="21" t="s">
        <v>80</v>
      </c>
      <c r="C185" s="13"/>
      <c r="D185" s="88"/>
      <c r="E185" s="88"/>
      <c r="F185" s="88"/>
      <c r="G185" s="88"/>
      <c r="H185" s="55"/>
      <c r="I185" s="88"/>
      <c r="J185" s="124"/>
      <c r="K185" s="127"/>
      <c r="L185" s="6"/>
      <c r="M185" s="6"/>
    </row>
    <row r="186" spans="1:13" ht="18">
      <c r="A186" s="51" t="s">
        <v>79</v>
      </c>
      <c r="B186" s="33" t="s">
        <v>82</v>
      </c>
      <c r="C186" s="13" t="s">
        <v>78</v>
      </c>
      <c r="D186" s="88">
        <v>395.6</v>
      </c>
      <c r="E186" s="88"/>
      <c r="F186" s="88"/>
      <c r="G186" s="88"/>
      <c r="H186" s="75"/>
      <c r="I186" s="88">
        <v>395.6</v>
      </c>
      <c r="J186" s="124"/>
      <c r="K186" s="127"/>
      <c r="L186" s="6"/>
      <c r="M186" s="6"/>
    </row>
    <row r="187" spans="1:13" ht="18">
      <c r="A187" s="51" t="s">
        <v>83</v>
      </c>
      <c r="B187" s="89"/>
      <c r="C187" s="13" t="s">
        <v>78</v>
      </c>
      <c r="D187" s="90"/>
      <c r="E187" s="90"/>
      <c r="F187" s="90"/>
      <c r="G187" s="90"/>
      <c r="H187" s="75"/>
      <c r="I187" s="88">
        <v>0</v>
      </c>
      <c r="J187" s="124"/>
      <c r="K187" s="127"/>
      <c r="L187" s="6"/>
      <c r="M187" s="6"/>
    </row>
    <row r="188" spans="1:13" ht="36">
      <c r="A188" s="51" t="s">
        <v>81</v>
      </c>
      <c r="B188" s="87" t="s">
        <v>62</v>
      </c>
      <c r="C188" s="13" t="s">
        <v>78</v>
      </c>
      <c r="D188" s="88"/>
      <c r="E188" s="88"/>
      <c r="F188" s="88"/>
      <c r="G188" s="88"/>
      <c r="H188" s="75"/>
      <c r="I188" s="88">
        <v>0</v>
      </c>
      <c r="J188" s="124"/>
      <c r="K188" s="127"/>
      <c r="L188" s="6"/>
      <c r="M188" s="6"/>
    </row>
    <row r="189" spans="1:13" ht="18">
      <c r="A189" s="51" t="s">
        <v>83</v>
      </c>
      <c r="B189" s="33" t="s">
        <v>64</v>
      </c>
      <c r="C189" s="13" t="s">
        <v>78</v>
      </c>
      <c r="D189" s="88">
        <v>21.5</v>
      </c>
      <c r="E189" s="88"/>
      <c r="F189" s="88"/>
      <c r="G189" s="88"/>
      <c r="H189" s="75"/>
      <c r="I189" s="88">
        <v>21.5</v>
      </c>
      <c r="J189" s="124"/>
      <c r="K189" s="127"/>
      <c r="L189" s="6"/>
      <c r="M189" s="6"/>
    </row>
    <row r="190" spans="1:13" ht="18">
      <c r="A190" s="51" t="s">
        <v>63</v>
      </c>
      <c r="B190" s="33" t="s">
        <v>66</v>
      </c>
      <c r="C190" s="13" t="s">
        <v>78</v>
      </c>
      <c r="D190" s="88">
        <v>1</v>
      </c>
      <c r="E190" s="88">
        <v>1</v>
      </c>
      <c r="F190" s="88"/>
      <c r="G190" s="88"/>
      <c r="H190" s="75"/>
      <c r="I190" s="88">
        <v>1</v>
      </c>
      <c r="J190" s="118"/>
      <c r="K190" s="20"/>
      <c r="L190" s="5"/>
      <c r="M190" s="5"/>
    </row>
    <row r="191" spans="1:13" ht="18">
      <c r="A191" s="51" t="s">
        <v>65</v>
      </c>
      <c r="B191" s="33" t="s">
        <v>68</v>
      </c>
      <c r="C191" s="13" t="s">
        <v>78</v>
      </c>
      <c r="D191" s="88">
        <v>54.2</v>
      </c>
      <c r="E191" s="88"/>
      <c r="F191" s="88"/>
      <c r="G191" s="88"/>
      <c r="H191" s="88"/>
      <c r="I191" s="88">
        <v>54.2</v>
      </c>
      <c r="J191" s="124"/>
      <c r="K191" s="127"/>
      <c r="L191" s="6"/>
      <c r="M191" s="6"/>
    </row>
    <row r="192" spans="1:13" ht="18">
      <c r="A192" s="51" t="s">
        <v>67</v>
      </c>
      <c r="B192" s="47" t="s">
        <v>70</v>
      </c>
      <c r="C192" s="57" t="s">
        <v>71</v>
      </c>
      <c r="D192" s="52">
        <v>130799</v>
      </c>
      <c r="E192" s="52"/>
      <c r="F192" s="147">
        <v>-1</v>
      </c>
      <c r="G192" s="52"/>
      <c r="H192" s="52">
        <v>8174.5425929847115</v>
      </c>
      <c r="I192" s="52">
        <v>138973.5425929847</v>
      </c>
      <c r="J192" s="118"/>
      <c r="K192" s="20"/>
      <c r="L192" s="5"/>
      <c r="M192" s="5"/>
    </row>
    <row r="193" spans="1:9" ht="18">
      <c r="A193" s="33"/>
      <c r="B193" s="21" t="s">
        <v>80</v>
      </c>
      <c r="C193" s="13"/>
      <c r="D193" s="53"/>
      <c r="E193" s="53"/>
      <c r="F193" s="148"/>
      <c r="G193" s="53"/>
      <c r="H193" s="54"/>
      <c r="I193" s="53"/>
    </row>
    <row r="194" spans="1:9" ht="18">
      <c r="A194" s="51" t="s">
        <v>69</v>
      </c>
      <c r="B194" s="33" t="s">
        <v>82</v>
      </c>
      <c r="C194" s="13" t="s">
        <v>71</v>
      </c>
      <c r="D194" s="54">
        <v>135170</v>
      </c>
      <c r="E194" s="54" t="e">
        <v>#DIV/0!</v>
      </c>
      <c r="F194" s="149" t="e">
        <v>#DIV/0!</v>
      </c>
      <c r="G194" s="54"/>
      <c r="H194" s="54">
        <v>8447.953741152654</v>
      </c>
      <c r="I194" s="54">
        <v>143617.95374115265</v>
      </c>
    </row>
    <row r="195" spans="1:9" ht="18">
      <c r="A195" s="51" t="s">
        <v>72</v>
      </c>
      <c r="B195" s="33" t="s">
        <v>64</v>
      </c>
      <c r="C195" s="13" t="s">
        <v>71</v>
      </c>
      <c r="D195" s="54">
        <v>171010</v>
      </c>
      <c r="E195" s="54" t="e">
        <v>#DIV/0!</v>
      </c>
      <c r="F195" s="149" t="e">
        <v>#DIV/0!</v>
      </c>
      <c r="G195" s="54"/>
      <c r="H195" s="54">
        <v>10688.488372093037</v>
      </c>
      <c r="I195" s="54">
        <v>181698.48837209304</v>
      </c>
    </row>
    <row r="196" spans="1:9" ht="18">
      <c r="A196" s="51" t="s">
        <v>73</v>
      </c>
      <c r="B196" s="33" t="s">
        <v>66</v>
      </c>
      <c r="C196" s="13" t="s">
        <v>71</v>
      </c>
      <c r="D196" s="54">
        <v>154150</v>
      </c>
      <c r="E196" s="54"/>
      <c r="F196" s="149">
        <v>-1</v>
      </c>
      <c r="G196" s="54"/>
      <c r="H196" s="54">
        <v>9634.166666666657</v>
      </c>
      <c r="I196" s="54">
        <v>163784.16666666666</v>
      </c>
    </row>
    <row r="197" spans="1:9" ht="18">
      <c r="A197" s="51" t="s">
        <v>74</v>
      </c>
      <c r="B197" s="33" t="s">
        <v>68</v>
      </c>
      <c r="C197" s="13" t="s">
        <v>71</v>
      </c>
      <c r="D197" s="54">
        <v>82512</v>
      </c>
      <c r="E197" s="54" t="e">
        <v>#DIV/0!</v>
      </c>
      <c r="F197" s="149" t="e">
        <v>#DIV/0!</v>
      </c>
      <c r="G197" s="54"/>
      <c r="H197" s="54">
        <v>5156.634686346864</v>
      </c>
      <c r="I197" s="54">
        <v>87668.63468634686</v>
      </c>
    </row>
    <row r="198" spans="1:3" ht="18">
      <c r="A198" s="15"/>
      <c r="B198" s="16"/>
      <c r="C198" s="9"/>
    </row>
    <row r="199" spans="1:3" ht="18">
      <c r="A199" s="15"/>
      <c r="B199" s="16"/>
      <c r="C199" s="9"/>
    </row>
    <row r="200" spans="1:3" ht="18">
      <c r="A200" s="15"/>
      <c r="B200" s="16"/>
      <c r="C200" s="9"/>
    </row>
    <row r="201" spans="1:8" ht="34.5">
      <c r="A201" s="18"/>
      <c r="B201" s="112" t="s">
        <v>324</v>
      </c>
      <c r="D201" s="30" t="s">
        <v>325</v>
      </c>
      <c r="H201" s="163" t="s">
        <v>326</v>
      </c>
    </row>
    <row r="202" spans="1:11" ht="21">
      <c r="A202" s="24"/>
      <c r="B202" s="44" t="s">
        <v>138</v>
      </c>
      <c r="C202" s="25"/>
      <c r="D202" s="45"/>
      <c r="E202" s="45"/>
      <c r="F202" s="45"/>
      <c r="G202" s="45"/>
      <c r="H202" s="45"/>
      <c r="I202" s="45"/>
      <c r="J202" s="124"/>
      <c r="K202" s="126"/>
    </row>
    <row r="203" spans="1:11" ht="18">
      <c r="A203" s="31"/>
      <c r="B203" s="32"/>
      <c r="C203" s="11"/>
      <c r="D203" s="20"/>
      <c r="E203" s="20"/>
      <c r="F203" s="20"/>
      <c r="G203" s="20"/>
      <c r="H203" s="20"/>
      <c r="I203" s="20"/>
      <c r="J203" s="124"/>
      <c r="K203" s="127"/>
    </row>
    <row r="204" spans="1:3" ht="18">
      <c r="A204" s="18"/>
      <c r="B204" s="16"/>
      <c r="C204" s="9"/>
    </row>
    <row r="205" spans="1:9" ht="18">
      <c r="A205" s="18"/>
      <c r="B205" s="16"/>
      <c r="C205" s="9"/>
      <c r="I205" s="162"/>
    </row>
    <row r="206" spans="1:9" ht="18">
      <c r="A206" s="22"/>
      <c r="B206" s="16"/>
      <c r="D206" s="162"/>
      <c r="E206" s="162"/>
      <c r="F206" s="162"/>
      <c r="G206" s="162"/>
      <c r="H206" s="162"/>
      <c r="I206" s="162"/>
    </row>
    <row r="207" spans="1:9" ht="18">
      <c r="A207" s="19"/>
      <c r="B207" s="16"/>
      <c r="I207" s="162"/>
    </row>
    <row r="208" spans="1:2" ht="18">
      <c r="A208" s="19"/>
      <c r="B208" s="16"/>
    </row>
    <row r="209" spans="1:9" ht="18">
      <c r="A209" s="19"/>
      <c r="I209" s="118"/>
    </row>
    <row r="210" spans="1:10" ht="18">
      <c r="A210" s="19"/>
      <c r="B210" s="20"/>
      <c r="C210" s="11"/>
      <c r="D210" s="101"/>
      <c r="E210" s="101"/>
      <c r="F210" s="150"/>
      <c r="J210" s="124" t="e">
        <v>#REF!</v>
      </c>
    </row>
    <row r="211" ht="18">
      <c r="A211" s="19"/>
    </row>
    <row r="212" spans="1:13" ht="18">
      <c r="A212" s="19"/>
      <c r="B212" s="30"/>
      <c r="C212" s="10"/>
      <c r="D212" s="30"/>
      <c r="E212" s="30"/>
      <c r="F212" s="30"/>
      <c r="G212" s="30"/>
      <c r="H212" s="30"/>
      <c r="I212" s="30"/>
      <c r="J212" s="124"/>
      <c r="K212" s="126"/>
      <c r="L212" s="1"/>
      <c r="M212" s="1"/>
    </row>
    <row r="226" spans="1:13" ht="18">
      <c r="A226" s="30"/>
      <c r="B226" s="14"/>
      <c r="C226" s="10"/>
      <c r="D226" s="30"/>
      <c r="E226" s="30"/>
      <c r="F226" s="30"/>
      <c r="G226" s="30"/>
      <c r="H226" s="30"/>
      <c r="I226" s="30"/>
      <c r="J226" s="124"/>
      <c r="K226" s="126"/>
      <c r="L226" s="1"/>
      <c r="M226" s="1"/>
    </row>
    <row r="227" spans="1:13" ht="18">
      <c r="A227" s="30"/>
      <c r="B227" s="20"/>
      <c r="C227" s="10"/>
      <c r="D227" s="30"/>
      <c r="E227" s="30"/>
      <c r="F227" s="30"/>
      <c r="G227" s="30"/>
      <c r="H227" s="30"/>
      <c r="I227" s="30"/>
      <c r="J227" s="124"/>
      <c r="K227" s="126"/>
      <c r="L227" s="1"/>
      <c r="M227" s="1"/>
    </row>
    <row r="228" spans="1:13" ht="18">
      <c r="A228" s="30"/>
      <c r="B228" s="20"/>
      <c r="C228" s="10"/>
      <c r="D228" s="30"/>
      <c r="E228" s="30"/>
      <c r="F228" s="30"/>
      <c r="G228" s="30"/>
      <c r="H228" s="30"/>
      <c r="I228" s="30"/>
      <c r="J228" s="124"/>
      <c r="K228" s="126"/>
      <c r="L228" s="1"/>
      <c r="M228" s="1"/>
    </row>
    <row r="230" spans="1:13" ht="18">
      <c r="A230" s="30"/>
      <c r="B230" s="30"/>
      <c r="C230" s="34"/>
      <c r="D230" s="30"/>
      <c r="E230" s="30"/>
      <c r="F230" s="30"/>
      <c r="G230" s="30"/>
      <c r="H230" s="30"/>
      <c r="I230" s="30"/>
      <c r="J230" s="124"/>
      <c r="K230" s="126"/>
      <c r="L230" s="1"/>
      <c r="M230" s="1"/>
    </row>
    <row r="231" spans="1:13" ht="18">
      <c r="A231" s="30"/>
      <c r="B231" s="30"/>
      <c r="C231" s="34"/>
      <c r="D231" s="30"/>
      <c r="E231" s="30"/>
      <c r="F231" s="30"/>
      <c r="G231" s="30"/>
      <c r="H231" s="30"/>
      <c r="I231" s="30"/>
      <c r="J231" s="124"/>
      <c r="K231" s="126"/>
      <c r="L231" s="1"/>
      <c r="M231" s="1"/>
    </row>
    <row r="232" spans="1:13" ht="18">
      <c r="A232" s="30"/>
      <c r="B232" s="20"/>
      <c r="C232" s="34"/>
      <c r="D232" s="30"/>
      <c r="E232" s="30"/>
      <c r="F232" s="30"/>
      <c r="G232" s="30"/>
      <c r="H232" s="30"/>
      <c r="I232" s="30"/>
      <c r="J232" s="124"/>
      <c r="K232" s="126"/>
      <c r="L232" s="1"/>
      <c r="M232" s="1"/>
    </row>
    <row r="234" spans="1:13" ht="18">
      <c r="A234" s="30"/>
      <c r="B234" s="30"/>
      <c r="C234" s="35"/>
      <c r="D234" s="30"/>
      <c r="E234" s="30"/>
      <c r="F234" s="30"/>
      <c r="G234" s="30"/>
      <c r="H234" s="30"/>
      <c r="I234" s="30"/>
      <c r="J234" s="124"/>
      <c r="K234" s="126"/>
      <c r="L234" s="1"/>
      <c r="M234" s="1"/>
    </row>
    <row r="235" spans="1:13" ht="18">
      <c r="A235" s="30"/>
      <c r="B235" s="17"/>
      <c r="C235" s="10"/>
      <c r="D235" s="30"/>
      <c r="E235" s="30"/>
      <c r="F235" s="30"/>
      <c r="G235" s="30"/>
      <c r="H235" s="30"/>
      <c r="I235" s="30"/>
      <c r="J235" s="124"/>
      <c r="K235" s="126"/>
      <c r="L235" s="1"/>
      <c r="M235" s="1"/>
    </row>
    <row r="237" spans="1:13" ht="18">
      <c r="A237" s="30"/>
      <c r="B237" s="30"/>
      <c r="C237" s="35"/>
      <c r="D237" s="30"/>
      <c r="E237" s="30"/>
      <c r="F237" s="30"/>
      <c r="G237" s="30"/>
      <c r="H237" s="30"/>
      <c r="I237" s="30"/>
      <c r="J237" s="124"/>
      <c r="K237" s="126"/>
      <c r="L237" s="1"/>
      <c r="M237" s="1"/>
    </row>
    <row r="238" spans="1:13" ht="18">
      <c r="A238" s="30"/>
      <c r="B238" s="30"/>
      <c r="C238" s="34"/>
      <c r="D238" s="30"/>
      <c r="E238" s="30"/>
      <c r="F238" s="30"/>
      <c r="G238" s="30"/>
      <c r="H238" s="30"/>
      <c r="I238" s="30"/>
      <c r="J238" s="124"/>
      <c r="K238" s="126"/>
      <c r="L238" s="1"/>
      <c r="M238" s="1"/>
    </row>
    <row r="239" spans="1:13" ht="18">
      <c r="A239" s="30"/>
      <c r="B239" s="30"/>
      <c r="C239" s="34"/>
      <c r="D239" s="30"/>
      <c r="E239" s="30"/>
      <c r="F239" s="30"/>
      <c r="G239" s="30"/>
      <c r="H239" s="30"/>
      <c r="I239" s="30"/>
      <c r="J239" s="124"/>
      <c r="K239" s="126"/>
      <c r="L239" s="1"/>
      <c r="M239" s="1"/>
    </row>
    <row r="240" spans="1:13" ht="18">
      <c r="A240" s="30"/>
      <c r="B240" s="20"/>
      <c r="C240" s="34"/>
      <c r="D240" s="30"/>
      <c r="E240" s="30"/>
      <c r="F240" s="30"/>
      <c r="G240" s="30"/>
      <c r="H240" s="30"/>
      <c r="I240" s="30"/>
      <c r="J240" s="124"/>
      <c r="K240" s="126"/>
      <c r="L240" s="1"/>
      <c r="M240" s="1"/>
    </row>
    <row r="242" spans="2:13" ht="18">
      <c r="B242" s="115"/>
      <c r="C242" s="10"/>
      <c r="D242" s="30"/>
      <c r="E242" s="30"/>
      <c r="F242" s="30"/>
      <c r="G242" s="30"/>
      <c r="H242" s="30"/>
      <c r="I242" s="30"/>
      <c r="J242" s="124"/>
      <c r="K242" s="126"/>
      <c r="L242" s="1"/>
      <c r="M242" s="1"/>
    </row>
    <row r="245" spans="2:13" ht="18">
      <c r="B245" s="14"/>
      <c r="C245" s="10"/>
      <c r="D245" s="30"/>
      <c r="E245" s="30"/>
      <c r="F245" s="30"/>
      <c r="G245" s="30"/>
      <c r="H245" s="30"/>
      <c r="I245" s="30"/>
      <c r="J245" s="124"/>
      <c r="K245" s="126"/>
      <c r="L245" s="1"/>
      <c r="M245" s="1"/>
    </row>
    <row r="246" spans="2:13" ht="18">
      <c r="B246" s="20"/>
      <c r="C246" s="10"/>
      <c r="D246" s="30"/>
      <c r="E246" s="30"/>
      <c r="F246" s="30"/>
      <c r="G246" s="30"/>
      <c r="H246" s="30"/>
      <c r="I246" s="30"/>
      <c r="J246" s="124"/>
      <c r="K246" s="126"/>
      <c r="L246" s="1"/>
      <c r="M246" s="1"/>
    </row>
    <row r="247" spans="2:13" ht="18">
      <c r="B247" s="20"/>
      <c r="C247" s="10"/>
      <c r="D247" s="30"/>
      <c r="E247" s="30"/>
      <c r="F247" s="30"/>
      <c r="G247" s="30"/>
      <c r="H247" s="30"/>
      <c r="I247" s="30"/>
      <c r="J247" s="124"/>
      <c r="K247" s="126"/>
      <c r="L247" s="1"/>
      <c r="M247" s="1"/>
    </row>
    <row r="249" spans="2:13" ht="18">
      <c r="B249" s="30"/>
      <c r="C249" s="34"/>
      <c r="D249" s="30"/>
      <c r="E249" s="30"/>
      <c r="F249" s="30"/>
      <c r="G249" s="30"/>
      <c r="H249" s="30"/>
      <c r="I249" s="30"/>
      <c r="J249" s="124"/>
      <c r="K249" s="126"/>
      <c r="L249" s="1"/>
      <c r="M249" s="1"/>
    </row>
    <row r="250" spans="2:13" ht="18">
      <c r="B250" s="30"/>
      <c r="C250" s="34"/>
      <c r="D250" s="30"/>
      <c r="E250" s="30"/>
      <c r="F250" s="30"/>
      <c r="G250" s="30"/>
      <c r="H250" s="30"/>
      <c r="I250" s="30"/>
      <c r="J250" s="124"/>
      <c r="K250" s="126"/>
      <c r="L250" s="1"/>
      <c r="M250" s="1"/>
    </row>
    <row r="251" spans="2:13" ht="18">
      <c r="B251" s="20"/>
      <c r="C251" s="34"/>
      <c r="D251" s="30"/>
      <c r="E251" s="30"/>
      <c r="F251" s="30"/>
      <c r="G251" s="30"/>
      <c r="H251" s="30"/>
      <c r="I251" s="30"/>
      <c r="J251" s="124"/>
      <c r="K251" s="126"/>
      <c r="L251" s="1"/>
      <c r="M251" s="1"/>
    </row>
    <row r="252" spans="2:13" ht="18">
      <c r="B252" s="30"/>
      <c r="C252" s="34"/>
      <c r="D252" s="30"/>
      <c r="E252" s="30"/>
      <c r="F252" s="30"/>
      <c r="G252" s="30"/>
      <c r="H252" s="30"/>
      <c r="I252" s="30"/>
      <c r="J252" s="124"/>
      <c r="K252" s="126"/>
      <c r="L252" s="1"/>
      <c r="M252" s="1"/>
    </row>
    <row r="253" spans="2:13" ht="18">
      <c r="B253" s="30"/>
      <c r="C253" s="34"/>
      <c r="D253" s="30"/>
      <c r="E253" s="30"/>
      <c r="F253" s="30"/>
      <c r="G253" s="30"/>
      <c r="H253" s="30"/>
      <c r="I253" s="30"/>
      <c r="J253" s="124"/>
      <c r="K253" s="126"/>
      <c r="L253" s="1"/>
      <c r="M253" s="1"/>
    </row>
    <row r="254" spans="2:13" ht="18">
      <c r="B254" s="17"/>
      <c r="C254" s="10"/>
      <c r="D254" s="30"/>
      <c r="E254" s="30"/>
      <c r="F254" s="30"/>
      <c r="G254" s="30"/>
      <c r="H254" s="30"/>
      <c r="I254" s="30"/>
      <c r="J254" s="124"/>
      <c r="K254" s="126"/>
      <c r="L254" s="1"/>
      <c r="M254" s="1"/>
    </row>
    <row r="255" spans="2:13" ht="18">
      <c r="B255" s="37"/>
      <c r="C255" s="116"/>
      <c r="D255" s="30"/>
      <c r="E255" s="30"/>
      <c r="F255" s="30"/>
      <c r="G255" s="30"/>
      <c r="H255" s="30"/>
      <c r="I255" s="30"/>
      <c r="J255" s="124"/>
      <c r="K255" s="126"/>
      <c r="L255" s="1"/>
      <c r="M255" s="1"/>
    </row>
    <row r="256" spans="2:13" ht="18">
      <c r="B256" s="14"/>
      <c r="C256" s="116"/>
      <c r="D256" s="30"/>
      <c r="E256" s="30"/>
      <c r="F256" s="30"/>
      <c r="G256" s="30"/>
      <c r="H256" s="30"/>
      <c r="I256" s="30"/>
      <c r="J256" s="124"/>
      <c r="K256" s="126"/>
      <c r="L256" s="1"/>
      <c r="M256" s="1"/>
    </row>
    <row r="257" spans="2:13" ht="18">
      <c r="B257" s="37"/>
      <c r="C257" s="116"/>
      <c r="D257" s="30"/>
      <c r="E257" s="30"/>
      <c r="F257" s="30"/>
      <c r="G257" s="30"/>
      <c r="H257" s="30"/>
      <c r="I257" s="30"/>
      <c r="J257" s="124"/>
      <c r="K257" s="126"/>
      <c r="L257" s="1"/>
      <c r="M257" s="1"/>
    </row>
    <row r="258" spans="2:13" ht="18">
      <c r="B258" s="23"/>
      <c r="C258" s="116"/>
      <c r="D258" s="30"/>
      <c r="E258" s="30"/>
      <c r="F258" s="30"/>
      <c r="G258" s="30"/>
      <c r="H258" s="30"/>
      <c r="I258" s="30"/>
      <c r="J258" s="124"/>
      <c r="K258" s="126"/>
      <c r="L258" s="1"/>
      <c r="M258" s="1"/>
    </row>
    <row r="259" spans="2:13" ht="18">
      <c r="B259" s="23"/>
      <c r="C259" s="116"/>
      <c r="D259" s="30"/>
      <c r="E259" s="30"/>
      <c r="F259" s="30"/>
      <c r="G259" s="30"/>
      <c r="H259" s="30"/>
      <c r="I259" s="30"/>
      <c r="J259" s="124"/>
      <c r="K259" s="126"/>
      <c r="L259" s="1"/>
      <c r="M259" s="1"/>
    </row>
    <row r="260" spans="2:13" ht="18">
      <c r="B260" s="14"/>
      <c r="C260" s="116"/>
      <c r="D260" s="30"/>
      <c r="E260" s="30"/>
      <c r="F260" s="30"/>
      <c r="G260" s="30"/>
      <c r="H260" s="30"/>
      <c r="I260" s="30"/>
      <c r="J260" s="124"/>
      <c r="K260" s="126"/>
      <c r="L260" s="1"/>
      <c r="M260" s="1"/>
    </row>
    <row r="261" spans="2:13" ht="18">
      <c r="B261" s="14"/>
      <c r="C261" s="116"/>
      <c r="D261" s="30"/>
      <c r="E261" s="30"/>
      <c r="F261" s="30"/>
      <c r="G261" s="30"/>
      <c r="H261" s="30"/>
      <c r="I261" s="30"/>
      <c r="J261" s="124"/>
      <c r="K261" s="126"/>
      <c r="L261" s="1"/>
      <c r="M261" s="1"/>
    </row>
    <row r="262" spans="2:13" ht="18">
      <c r="B262" s="14"/>
      <c r="C262" s="117"/>
      <c r="D262" s="30"/>
      <c r="E262" s="30"/>
      <c r="F262" s="30"/>
      <c r="G262" s="30"/>
      <c r="H262" s="30"/>
      <c r="I262" s="30"/>
      <c r="J262" s="124"/>
      <c r="K262" s="126"/>
      <c r="L262" s="1"/>
      <c r="M262" s="1"/>
    </row>
    <row r="263" spans="2:13" ht="18">
      <c r="B263" s="30"/>
      <c r="C263" s="34"/>
      <c r="D263" s="30"/>
      <c r="E263" s="30"/>
      <c r="F263" s="30"/>
      <c r="G263" s="30"/>
      <c r="H263" s="30"/>
      <c r="I263" s="30"/>
      <c r="J263" s="124"/>
      <c r="K263" s="126"/>
      <c r="L263" s="1"/>
      <c r="M263" s="1"/>
    </row>
    <row r="264" spans="2:13" ht="18">
      <c r="B264" s="20"/>
      <c r="C264" s="34"/>
      <c r="D264" s="30"/>
      <c r="E264" s="30"/>
      <c r="F264" s="30"/>
      <c r="G264" s="30"/>
      <c r="H264" s="30"/>
      <c r="I264" s="30"/>
      <c r="J264" s="124"/>
      <c r="K264" s="126"/>
      <c r="L264" s="1"/>
      <c r="M264" s="1"/>
    </row>
    <row r="281" spans="1:13" ht="18">
      <c r="A281" s="30"/>
      <c r="B281" s="20"/>
      <c r="C281" s="10"/>
      <c r="D281" s="30"/>
      <c r="E281" s="30"/>
      <c r="F281" s="30"/>
      <c r="G281" s="30"/>
      <c r="H281" s="30"/>
      <c r="I281" s="30"/>
      <c r="J281" s="124"/>
      <c r="K281" s="126"/>
      <c r="L281" s="1"/>
      <c r="M281" s="1"/>
    </row>
    <row r="283" spans="1:13" ht="18">
      <c r="A283" s="20"/>
      <c r="B283" s="20"/>
      <c r="C283" s="11"/>
      <c r="D283" s="30"/>
      <c r="E283" s="30"/>
      <c r="F283" s="30"/>
      <c r="G283" s="30"/>
      <c r="H283" s="30"/>
      <c r="I283" s="30"/>
      <c r="J283" s="124"/>
      <c r="K283" s="126"/>
      <c r="L283" s="1"/>
      <c r="M283" s="1"/>
    </row>
    <row r="285" spans="1:13" ht="18">
      <c r="A285" s="20"/>
      <c r="B285" s="30"/>
      <c r="C285" s="11"/>
      <c r="D285" s="30"/>
      <c r="E285" s="30"/>
      <c r="F285" s="30"/>
      <c r="G285" s="30"/>
      <c r="H285" s="30"/>
      <c r="I285" s="30"/>
      <c r="J285" s="124"/>
      <c r="K285" s="126"/>
      <c r="L285" s="1"/>
      <c r="M285" s="1"/>
    </row>
    <row r="289" spans="1:13" ht="18">
      <c r="A289" s="30"/>
      <c r="B289" s="20"/>
      <c r="C289" s="10"/>
      <c r="D289" s="30"/>
      <c r="E289" s="30"/>
      <c r="F289" s="30"/>
      <c r="G289" s="30"/>
      <c r="H289" s="30"/>
      <c r="I289" s="30"/>
      <c r="J289" s="124"/>
      <c r="K289" s="126"/>
      <c r="L289" s="1"/>
      <c r="M289" s="1"/>
    </row>
    <row r="291" spans="1:13" ht="18">
      <c r="A291" s="20"/>
      <c r="B291" s="30"/>
      <c r="C291" s="11"/>
      <c r="D291" s="30"/>
      <c r="E291" s="30"/>
      <c r="F291" s="30"/>
      <c r="G291" s="30"/>
      <c r="H291" s="30"/>
      <c r="I291" s="30"/>
      <c r="J291" s="124"/>
      <c r="K291" s="126"/>
      <c r="L291" s="1"/>
      <c r="M291" s="1"/>
    </row>
    <row r="292" spans="1:13" ht="18">
      <c r="A292" s="30"/>
      <c r="B292" s="20"/>
      <c r="C292" s="10"/>
      <c r="D292" s="30"/>
      <c r="E292" s="30"/>
      <c r="F292" s="30"/>
      <c r="G292" s="30"/>
      <c r="H292" s="30"/>
      <c r="I292" s="30"/>
      <c r="J292" s="124"/>
      <c r="K292" s="126"/>
      <c r="L292" s="1"/>
      <c r="M292" s="1"/>
    </row>
    <row r="294" spans="1:13" ht="18">
      <c r="A294" s="20"/>
      <c r="B294" s="20"/>
      <c r="C294" s="11"/>
      <c r="D294" s="30"/>
      <c r="E294" s="30"/>
      <c r="F294" s="30"/>
      <c r="G294" s="30"/>
      <c r="H294" s="30"/>
      <c r="I294" s="30"/>
      <c r="J294" s="124"/>
      <c r="K294" s="126"/>
      <c r="L294" s="1"/>
      <c r="M294" s="1"/>
    </row>
    <row r="295" spans="1:13" ht="18">
      <c r="A295" s="20"/>
      <c r="B295" s="20"/>
      <c r="C295" s="10"/>
      <c r="D295" s="30"/>
      <c r="E295" s="30"/>
      <c r="F295" s="30"/>
      <c r="G295" s="30"/>
      <c r="H295" s="30"/>
      <c r="I295" s="30"/>
      <c r="J295" s="124"/>
      <c r="K295" s="126"/>
      <c r="L295" s="1"/>
      <c r="M295" s="1"/>
    </row>
    <row r="296" spans="1:13" ht="18">
      <c r="A296" s="20"/>
      <c r="B296" s="30"/>
      <c r="C296" s="11"/>
      <c r="D296" s="30"/>
      <c r="E296" s="30"/>
      <c r="F296" s="30"/>
      <c r="G296" s="30"/>
      <c r="H296" s="30"/>
      <c r="I296" s="30"/>
      <c r="J296" s="124"/>
      <c r="K296" s="126"/>
      <c r="L296" s="1"/>
      <c r="M296" s="1"/>
    </row>
    <row r="297" spans="1:13" ht="18">
      <c r="A297" s="20"/>
      <c r="B297" s="30"/>
      <c r="C297" s="11"/>
      <c r="D297" s="30"/>
      <c r="E297" s="30"/>
      <c r="F297" s="30"/>
      <c r="G297" s="30"/>
      <c r="H297" s="30"/>
      <c r="I297" s="30"/>
      <c r="J297" s="124"/>
      <c r="K297" s="126"/>
      <c r="L297" s="1"/>
      <c r="M297" s="1"/>
    </row>
    <row r="298" spans="1:13" ht="18">
      <c r="A298" s="30"/>
      <c r="B298" s="20"/>
      <c r="C298" s="10"/>
      <c r="D298" s="30"/>
      <c r="E298" s="30"/>
      <c r="F298" s="30"/>
      <c r="G298" s="30"/>
      <c r="H298" s="30"/>
      <c r="I298" s="30"/>
      <c r="J298" s="124"/>
      <c r="K298" s="126"/>
      <c r="L298" s="1"/>
      <c r="M298" s="1"/>
    </row>
    <row r="300" spans="1:13" ht="18">
      <c r="A300" s="20"/>
      <c r="B300" s="30"/>
      <c r="C300" s="11"/>
      <c r="D300" s="30"/>
      <c r="E300" s="30"/>
      <c r="F300" s="30"/>
      <c r="G300" s="30"/>
      <c r="H300" s="30"/>
      <c r="I300" s="30"/>
      <c r="J300" s="124"/>
      <c r="K300" s="126"/>
      <c r="L300" s="1"/>
      <c r="M300" s="1"/>
    </row>
    <row r="315" ht="17.25">
      <c r="B315" s="20"/>
    </row>
    <row r="316" ht="17.25">
      <c r="B316" s="20"/>
    </row>
    <row r="317" spans="1:11" ht="18">
      <c r="A317" s="20"/>
      <c r="B317" s="30"/>
      <c r="C317" s="11"/>
      <c r="D317" s="20"/>
      <c r="E317" s="20"/>
      <c r="F317" s="20"/>
      <c r="G317" s="20"/>
      <c r="H317" s="20"/>
      <c r="I317" s="20"/>
      <c r="J317" s="124"/>
      <c r="K317" s="127"/>
    </row>
    <row r="318" spans="1:11" ht="18">
      <c r="A318" s="20"/>
      <c r="B318" s="30"/>
      <c r="C318" s="11"/>
      <c r="D318" s="20"/>
      <c r="E318" s="20"/>
      <c r="F318" s="20"/>
      <c r="G318" s="20"/>
      <c r="H318" s="20"/>
      <c r="I318" s="20"/>
      <c r="J318" s="124"/>
      <c r="K318" s="127"/>
    </row>
    <row r="342" spans="1:13" ht="18">
      <c r="A342" s="30"/>
      <c r="B342" s="20"/>
      <c r="C342" s="10"/>
      <c r="D342" s="30"/>
      <c r="E342" s="30"/>
      <c r="F342" s="30"/>
      <c r="G342" s="30"/>
      <c r="H342" s="30"/>
      <c r="I342" s="30"/>
      <c r="J342" s="124"/>
      <c r="K342" s="126"/>
      <c r="L342" s="1"/>
      <c r="M342" s="1"/>
    </row>
    <row r="344" spans="1:13" ht="18">
      <c r="A344" s="20"/>
      <c r="B344" s="30"/>
      <c r="C344" s="11"/>
      <c r="D344" s="30"/>
      <c r="E344" s="30"/>
      <c r="F344" s="30"/>
      <c r="G344" s="30"/>
      <c r="H344" s="30"/>
      <c r="I344" s="30"/>
      <c r="J344" s="124"/>
      <c r="K344" s="126"/>
      <c r="L344" s="1"/>
      <c r="M344" s="1"/>
    </row>
    <row r="345" spans="1:13" ht="18">
      <c r="A345" s="30"/>
      <c r="B345" s="30"/>
      <c r="C345" s="10"/>
      <c r="D345" s="30"/>
      <c r="E345" s="30"/>
      <c r="F345" s="30"/>
      <c r="G345" s="30"/>
      <c r="H345" s="30"/>
      <c r="I345" s="30"/>
      <c r="J345" s="124"/>
      <c r="K345" s="126"/>
      <c r="L345" s="1"/>
      <c r="M345" s="1"/>
    </row>
    <row r="350" spans="1:13" ht="18">
      <c r="A350" s="30"/>
      <c r="B350" s="30"/>
      <c r="C350" s="10"/>
      <c r="D350" s="30"/>
      <c r="E350" s="30"/>
      <c r="F350" s="30"/>
      <c r="G350" s="30"/>
      <c r="H350" s="30"/>
      <c r="I350" s="30"/>
      <c r="J350" s="124"/>
      <c r="K350" s="126"/>
      <c r="L350" s="1"/>
      <c r="M350" s="1"/>
    </row>
    <row r="356" spans="1:13" ht="18">
      <c r="A356" s="30"/>
      <c r="B356" s="20"/>
      <c r="C356" s="10"/>
      <c r="D356" s="30"/>
      <c r="E356" s="30"/>
      <c r="F356" s="30"/>
      <c r="G356" s="30"/>
      <c r="H356" s="30"/>
      <c r="I356" s="30"/>
      <c r="J356" s="124"/>
      <c r="K356" s="126"/>
      <c r="L356" s="1"/>
      <c r="M356" s="1"/>
    </row>
    <row r="357" spans="1:13" ht="18">
      <c r="A357" s="30"/>
      <c r="B357" s="20"/>
      <c r="C357" s="10"/>
      <c r="D357" s="30"/>
      <c r="E357" s="30"/>
      <c r="F357" s="30"/>
      <c r="G357" s="30"/>
      <c r="H357" s="30"/>
      <c r="I357" s="30"/>
      <c r="J357" s="124"/>
      <c r="K357" s="126"/>
      <c r="L357" s="1"/>
      <c r="M357" s="1"/>
    </row>
    <row r="358" spans="1:13" ht="18">
      <c r="A358" s="20"/>
      <c r="B358" s="30"/>
      <c r="C358" s="11"/>
      <c r="D358" s="30"/>
      <c r="E358" s="30"/>
      <c r="F358" s="30"/>
      <c r="G358" s="30"/>
      <c r="H358" s="30"/>
      <c r="I358" s="30"/>
      <c r="J358" s="124"/>
      <c r="K358" s="126"/>
      <c r="L358" s="1"/>
      <c r="M358" s="1"/>
    </row>
    <row r="359" spans="1:13" ht="18">
      <c r="A359" s="20"/>
      <c r="B359" s="30"/>
      <c r="C359" s="11"/>
      <c r="D359" s="30"/>
      <c r="E359" s="30"/>
      <c r="F359" s="30"/>
      <c r="G359" s="30"/>
      <c r="H359" s="30"/>
      <c r="I359" s="30"/>
      <c r="J359" s="124"/>
      <c r="K359" s="126"/>
      <c r="L359" s="1"/>
      <c r="M359" s="1"/>
    </row>
    <row r="367" spans="1:13" ht="18">
      <c r="A367" s="30"/>
      <c r="B367" s="20"/>
      <c r="C367" s="10"/>
      <c r="D367" s="30"/>
      <c r="E367" s="30"/>
      <c r="F367" s="30"/>
      <c r="G367" s="30"/>
      <c r="H367" s="30"/>
      <c r="I367" s="30"/>
      <c r="J367" s="124"/>
      <c r="K367" s="126"/>
      <c r="L367" s="1"/>
      <c r="M367" s="1"/>
    </row>
    <row r="369" spans="1:13" ht="18">
      <c r="A369" s="20"/>
      <c r="B369" s="30"/>
      <c r="C369" s="11"/>
      <c r="D369" s="30"/>
      <c r="E369" s="30"/>
      <c r="F369" s="30"/>
      <c r="G369" s="30"/>
      <c r="H369" s="30"/>
      <c r="I369" s="30"/>
      <c r="J369" s="124"/>
      <c r="K369" s="126"/>
      <c r="L369" s="1"/>
      <c r="M369" s="1"/>
    </row>
    <row r="370" spans="1:13" ht="18">
      <c r="A370" s="30"/>
      <c r="B370" s="40"/>
      <c r="C370" s="10"/>
      <c r="D370" s="30"/>
      <c r="E370" s="30"/>
      <c r="F370" s="30"/>
      <c r="G370" s="30"/>
      <c r="H370" s="30"/>
      <c r="I370" s="30"/>
      <c r="J370" s="124"/>
      <c r="K370" s="126"/>
      <c r="L370" s="1"/>
      <c r="M370" s="1"/>
    </row>
    <row r="371" spans="1:13" ht="18">
      <c r="A371" s="30"/>
      <c r="B371" s="40"/>
      <c r="C371" s="10"/>
      <c r="D371" s="30"/>
      <c r="E371" s="30"/>
      <c r="F371" s="30"/>
      <c r="G371" s="30"/>
      <c r="H371" s="30"/>
      <c r="I371" s="30"/>
      <c r="J371" s="124"/>
      <c r="K371" s="126"/>
      <c r="L371" s="1"/>
      <c r="M371" s="1"/>
    </row>
    <row r="372" spans="1:13" ht="18">
      <c r="A372" s="30"/>
      <c r="B372" s="30"/>
      <c r="C372" s="41"/>
      <c r="D372" s="30"/>
      <c r="E372" s="30"/>
      <c r="F372" s="30"/>
      <c r="G372" s="30"/>
      <c r="H372" s="30"/>
      <c r="I372" s="30"/>
      <c r="J372" s="124"/>
      <c r="K372" s="126"/>
      <c r="L372" s="1"/>
      <c r="M372" s="1"/>
    </row>
    <row r="373" spans="1:13" ht="18">
      <c r="A373" s="30"/>
      <c r="B373" s="20"/>
      <c r="C373" s="41"/>
      <c r="D373" s="30"/>
      <c r="E373" s="30"/>
      <c r="F373" s="30"/>
      <c r="G373" s="30"/>
      <c r="H373" s="30"/>
      <c r="I373" s="30"/>
      <c r="J373" s="124"/>
      <c r="K373" s="126"/>
      <c r="L373" s="1"/>
      <c r="M373" s="1"/>
    </row>
    <row r="375" spans="1:13" ht="18">
      <c r="A375" s="30"/>
      <c r="B375" s="30"/>
      <c r="C375" s="11"/>
      <c r="D375" s="30"/>
      <c r="E375" s="30"/>
      <c r="F375" s="30"/>
      <c r="G375" s="30"/>
      <c r="H375" s="30"/>
      <c r="I375" s="30"/>
      <c r="J375" s="124"/>
      <c r="K375" s="126"/>
      <c r="L375" s="1"/>
      <c r="M375" s="1"/>
    </row>
  </sheetData>
  <sheetProtection/>
  <mergeCells count="1">
    <mergeCell ref="A182:I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PEO3</dc:creator>
  <cp:keywords/>
  <dc:description/>
  <cp:lastModifiedBy>Любовь Раченкова</cp:lastModifiedBy>
  <cp:lastPrinted>2023-04-24T05:27:15Z</cp:lastPrinted>
  <dcterms:created xsi:type="dcterms:W3CDTF">2010-05-20T09:12:56Z</dcterms:created>
  <dcterms:modified xsi:type="dcterms:W3CDTF">2023-04-24T05:45:16Z</dcterms:modified>
  <cp:category/>
  <cp:version/>
  <cp:contentType/>
  <cp:contentStatus/>
</cp:coreProperties>
</file>