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225" windowWidth="9495" windowHeight="11835" activeTab="0"/>
  </bookViews>
  <sheets>
    <sheet name="канализация-рус.яз." sheetId="1" r:id="rId1"/>
  </sheets>
  <definedNames>
    <definedName name="_xlnm.Print_Titles" localSheetId="0">'канализация-рус.яз.'!$2:$3</definedName>
  </definedNames>
  <calcPr fullCalcOnLoad="1"/>
</workbook>
</file>

<file path=xl/comments1.xml><?xml version="1.0" encoding="utf-8"?>
<comments xmlns="http://schemas.openxmlformats.org/spreadsheetml/2006/main">
  <authors>
    <author>Галактионова</author>
  </authors>
  <commentList>
    <comment ref="D46" authorId="0">
      <text>
        <r>
          <rPr>
            <b/>
            <sz val="10"/>
            <rFont val="Tahoma"/>
            <family val="2"/>
          </rPr>
          <t>Галактионова:
доход-расход и минус КПН(20% от прибыли)</t>
        </r>
      </text>
    </comment>
  </commentList>
</comments>
</file>

<file path=xl/sharedStrings.xml><?xml version="1.0" encoding="utf-8"?>
<sst xmlns="http://schemas.openxmlformats.org/spreadsheetml/2006/main" count="171" uniqueCount="113">
  <si>
    <t>№ п/п</t>
  </si>
  <si>
    <t>Наименование показателей</t>
  </si>
  <si>
    <t>единицы измерения</t>
  </si>
  <si>
    <t>% выпол-нения</t>
  </si>
  <si>
    <t>I.</t>
  </si>
  <si>
    <t>Затраты на производство товаров и  предоставление услуг, всего</t>
  </si>
  <si>
    <t>тыс.тенге</t>
  </si>
  <si>
    <t>1.</t>
  </si>
  <si>
    <t>Материальные затраты, всего</t>
  </si>
  <si>
    <t>1.1.</t>
  </si>
  <si>
    <t xml:space="preserve">  сырьё и материалы</t>
  </si>
  <si>
    <t>1.2.</t>
  </si>
  <si>
    <t xml:space="preserve">  ГСМ</t>
  </si>
  <si>
    <t>1.3.</t>
  </si>
  <si>
    <t xml:space="preserve">  электроэнергия</t>
  </si>
  <si>
    <t>1.4.</t>
  </si>
  <si>
    <t xml:space="preserve">  теплоэнергия</t>
  </si>
  <si>
    <t>2.</t>
  </si>
  <si>
    <t>Расходы на оплату труда, всего</t>
  </si>
  <si>
    <t>2.1.</t>
  </si>
  <si>
    <t xml:space="preserve">  заработная плата производственного персонала</t>
  </si>
  <si>
    <t>2.2.</t>
  </si>
  <si>
    <t xml:space="preserve">  отчисления от заработной платы</t>
  </si>
  <si>
    <t>3.</t>
  </si>
  <si>
    <t xml:space="preserve">Амортизация </t>
  </si>
  <si>
    <t>3.1.</t>
  </si>
  <si>
    <t>3.2.</t>
  </si>
  <si>
    <t>4.</t>
  </si>
  <si>
    <t>Текущий и капитальный ремонт и другие ремонтно-восстановительные работы, не приводящие к увеличению стоимости основных фондов</t>
  </si>
  <si>
    <t>5.</t>
  </si>
  <si>
    <t xml:space="preserve">Оплата работ и услуг производственного характера,выполняемых сторонними организациями </t>
  </si>
  <si>
    <t>6.</t>
  </si>
  <si>
    <t>Прочие затраты</t>
  </si>
  <si>
    <t>II.</t>
  </si>
  <si>
    <t>Расходы  периода   всего,  в т.ч.</t>
  </si>
  <si>
    <t>7.</t>
  </si>
  <si>
    <t>Общие и административные расходы, всего</t>
  </si>
  <si>
    <t>7.1.</t>
  </si>
  <si>
    <t>Расходы на оплату труда, всего, в т.ч.</t>
  </si>
  <si>
    <t xml:space="preserve">  заработная плата административного персонала</t>
  </si>
  <si>
    <t>7.2.</t>
  </si>
  <si>
    <t>Налоги</t>
  </si>
  <si>
    <t>7.3.</t>
  </si>
  <si>
    <t>7.4.</t>
  </si>
  <si>
    <t>7.5.</t>
  </si>
  <si>
    <t>Износ основных средств</t>
  </si>
  <si>
    <t>7.6.</t>
  </si>
  <si>
    <t>Амортизация нематериальных активов</t>
  </si>
  <si>
    <t>7.7.</t>
  </si>
  <si>
    <t>Электроэнергия</t>
  </si>
  <si>
    <t>7.8.</t>
  </si>
  <si>
    <t>Теплоэнергия</t>
  </si>
  <si>
    <t>7.9.</t>
  </si>
  <si>
    <t>Материалы на содеражание</t>
  </si>
  <si>
    <t>7.10.</t>
  </si>
  <si>
    <t xml:space="preserve">Прочие административные расходы </t>
  </si>
  <si>
    <t>Расходы на содержание службы сбыта</t>
  </si>
  <si>
    <t>8.1.</t>
  </si>
  <si>
    <t>8.2.</t>
  </si>
  <si>
    <t>8.3.</t>
  </si>
  <si>
    <t>8.4.</t>
  </si>
  <si>
    <t>8.5.</t>
  </si>
  <si>
    <t>8.6.</t>
  </si>
  <si>
    <t>8.7.</t>
  </si>
  <si>
    <t>8.8.</t>
  </si>
  <si>
    <t>III.</t>
  </si>
  <si>
    <t>Всего затрат на предоставление услуг</t>
  </si>
  <si>
    <t>IV.</t>
  </si>
  <si>
    <t>V.</t>
  </si>
  <si>
    <t>Всего доходов</t>
  </si>
  <si>
    <t>VI.</t>
  </si>
  <si>
    <t xml:space="preserve">Объемы оказываемых услуг </t>
  </si>
  <si>
    <t>мың.м³</t>
  </si>
  <si>
    <t xml:space="preserve"> население</t>
  </si>
  <si>
    <t>тыс.м³</t>
  </si>
  <si>
    <t xml:space="preserve"> предприятия, занимающиеся производ-ством тепловой энергии и оказанием услуг горячего водоснабжения </t>
  </si>
  <si>
    <t xml:space="preserve"> прочие потребители</t>
  </si>
  <si>
    <t>VII.</t>
  </si>
  <si>
    <t>тенге/м³</t>
  </si>
  <si>
    <t xml:space="preserve"> предприятия, занимающиеся производ-ством тепловой энергии и оказанием услуг горячего водоснабжения</t>
  </si>
  <si>
    <t>план 7 мес</t>
  </si>
  <si>
    <t xml:space="preserve">утвержден с 1июня 2017г.-120 (по пр.134-ОД от 20.04.2015г.) </t>
  </si>
  <si>
    <t xml:space="preserve">утвержден с 1июня 2017г.-204,5 (по пр.134-ОД от 20.04.2015г.) </t>
  </si>
  <si>
    <r>
      <t>Принято  в смете на 4-й год (с 01.06.2018г. по 31.05.2019г.), приказ №</t>
    </r>
    <r>
      <rPr>
        <sz val="10"/>
        <rFont val="Arial Cyr"/>
        <family val="0"/>
      </rPr>
      <t xml:space="preserve"> 90-ОД от 31.05.2019г.</t>
    </r>
  </si>
  <si>
    <t>4-ой год реализации</t>
  </si>
  <si>
    <t>утвержден с 1июня 2018г.-61,95 (по пр.134-ОД от 20.04.2015г.) с 1 января 2019г. - 58,85 (пр.347 от 21.11.2018г)</t>
  </si>
  <si>
    <t xml:space="preserve">утвержден с 1июня 2018г.-120,0 (по пр.134-ОД от 20.04.2015г) </t>
  </si>
  <si>
    <t xml:space="preserve">утвержден с 1июня 2018г.- 204,50 (по пр.134-ОД от 20.04.2015г.) </t>
  </si>
  <si>
    <t xml:space="preserve"> Тариф, без НДС</t>
  </si>
  <si>
    <t xml:space="preserve">  Информация о ходе исполнения тарифной сметы на услуги  водоотведения, оказываемые ГКП на праве хозяйственного ведения "Өскемен Водоканал" акимата г.Усть-Каменогорск  за 12 месяцев 2022 года</t>
  </si>
  <si>
    <t>План на 2022г.</t>
  </si>
  <si>
    <t>Факт 2022г.</t>
  </si>
  <si>
    <t>3.3.</t>
  </si>
  <si>
    <t>на выполнение инвестиционной программы</t>
  </si>
  <si>
    <t>на возврат основного долга по кредиту ЕБРР</t>
  </si>
  <si>
    <t>на возврат основного долга по кредиту Нурлы Жол</t>
  </si>
  <si>
    <t>% по кредиту ЕБРР</t>
  </si>
  <si>
    <t>% по кредиту Нурлы жол</t>
  </si>
  <si>
    <t xml:space="preserve">Доход        </t>
  </si>
  <si>
    <t>утвержден  с 1 января 2022г. - 44,86                          (пр.277-ОД от 29.11.2021г)                          утвержден  с 1 июля 2022г. - 46,37        (пр.158-ОД от 25.07.2022г)</t>
  </si>
  <si>
    <t>утвержден  с 1 января 2022г. - 87,74                          (пр.277-ОД от 29.11.2021г)                          утвержден  с 1 июля 2022г. - 46,37        (пр.158-ОД от 25.07.2022г)</t>
  </si>
  <si>
    <t>утвержден  с 1 января 2022г. - 148,93                          (пр.277-ОД от 29.11.2021г)                          утвержден  с 1 июля 2022г. - 988,41        (пр.158-ОД от 25.07.2022г)</t>
  </si>
  <si>
    <t>утвержден  с 1 января 2022г. - 148,93                          (пр.277-ОД от 29.11.2021г)                          утвержден  с 1 июля 2022г. - 192,42        (пр.158-ОД от 25.07.2022г)</t>
  </si>
  <si>
    <t>организации, содержащиеся за счет бюджетных средств</t>
  </si>
  <si>
    <t>7.11.</t>
  </si>
  <si>
    <t>Содержание служебного транспорта</t>
  </si>
  <si>
    <t>8.9.</t>
  </si>
  <si>
    <t>Услуги по обработке и доставке платежного документа</t>
  </si>
  <si>
    <t xml:space="preserve">Заработная плата     </t>
  </si>
  <si>
    <t>Отчисления от заработной платы</t>
  </si>
  <si>
    <t>Амортизация основных средств</t>
  </si>
  <si>
    <t xml:space="preserve">Материалы  на содержание </t>
  </si>
  <si>
    <t>Прочие  затраты  на содержание службы сбыта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</si>
</sst>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%"/>
    <numFmt numFmtId="174" formatCode="0.0"/>
    <numFmt numFmtId="175" formatCode="0.000%"/>
    <numFmt numFmtId="176" formatCode="[=0]&quot;&quot;;General"/>
    <numFmt numFmtId="177" formatCode="#,##0.000"/>
    <numFmt numFmtId="178" formatCode="0.000"/>
    <numFmt numFmtId="179" formatCode="#,##0.00_р_."/>
    <numFmt numFmtId="180" formatCode="[$-FC19]d\ mmmm\ yyyy\ &quot;г.&quot;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u val="single"/>
      <sz val="12"/>
      <name val="Arial Cyr"/>
      <family val="0"/>
    </font>
    <font>
      <i/>
      <sz val="10"/>
      <name val="Arial Cyr"/>
      <family val="0"/>
    </font>
    <font>
      <sz val="10"/>
      <color indexed="9"/>
      <name val="Arial Cyr"/>
      <family val="0"/>
    </font>
    <font>
      <b/>
      <sz val="10"/>
      <name val="Arial Cyr"/>
      <family val="0"/>
    </font>
    <font>
      <sz val="10"/>
      <color indexed="40"/>
      <name val="Arial Cyr"/>
      <family val="0"/>
    </font>
    <font>
      <b/>
      <i/>
      <sz val="10"/>
      <name val="Arial Cyr"/>
      <family val="0"/>
    </font>
    <font>
      <b/>
      <sz val="12"/>
      <name val="Arial Cyr"/>
      <family val="2"/>
    </font>
    <font>
      <b/>
      <sz val="10"/>
      <color indexed="10"/>
      <name val="Arial Cyr"/>
      <family val="0"/>
    </font>
    <font>
      <b/>
      <sz val="10"/>
      <name val="Tahoma"/>
      <family val="2"/>
    </font>
    <font>
      <sz val="9"/>
      <name val="Arial Cyr"/>
      <family val="2"/>
    </font>
    <font>
      <b/>
      <sz val="8"/>
      <name val="Arial Cyr"/>
      <family val="0"/>
    </font>
    <font>
      <b/>
      <i/>
      <sz val="8"/>
      <name val="Arial Cyr"/>
      <family val="0"/>
    </font>
    <font>
      <i/>
      <sz val="8"/>
      <name val="Arial Cyr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</fills>
  <borders count="6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221">
    <xf numFmtId="0" fontId="0" fillId="0" borderId="0" xfId="0" applyAlignment="1">
      <alignment/>
    </xf>
    <xf numFmtId="0" fontId="0" fillId="0" borderId="0" xfId="0" applyFill="1" applyAlignment="1">
      <alignment vertical="center"/>
    </xf>
    <xf numFmtId="0" fontId="22" fillId="0" borderId="1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vertical="center" wrapText="1"/>
    </xf>
    <xf numFmtId="0" fontId="24" fillId="0" borderId="12" xfId="0" applyFont="1" applyFill="1" applyBorder="1" applyAlignment="1">
      <alignment horizontal="center" vertical="center"/>
    </xf>
    <xf numFmtId="0" fontId="24" fillId="0" borderId="0" xfId="0" applyFont="1" applyFill="1" applyAlignment="1">
      <alignment vertical="center"/>
    </xf>
    <xf numFmtId="16" fontId="0" fillId="0" borderId="13" xfId="0" applyNumberFormat="1" applyFill="1" applyBorder="1" applyAlignment="1">
      <alignment horizontal="center" vertical="center"/>
    </xf>
    <xf numFmtId="16" fontId="0" fillId="0" borderId="14" xfId="0" applyNumberFormat="1" applyFill="1" applyBorder="1" applyAlignment="1">
      <alignment horizontal="center" vertical="center"/>
    </xf>
    <xf numFmtId="0" fontId="24" fillId="0" borderId="13" xfId="0" applyFont="1" applyFill="1" applyBorder="1" applyAlignment="1">
      <alignment horizontal="center" vertical="center"/>
    </xf>
    <xf numFmtId="16" fontId="24" fillId="0" borderId="13" xfId="0" applyNumberFormat="1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24" fillId="0" borderId="15" xfId="0" applyFont="1" applyFill="1" applyBorder="1" applyAlignment="1">
      <alignment vertical="center" wrapText="1"/>
    </xf>
    <xf numFmtId="0" fontId="24" fillId="0" borderId="16" xfId="0" applyFont="1" applyFill="1" applyBorder="1" applyAlignment="1">
      <alignment horizontal="center" vertical="center"/>
    </xf>
    <xf numFmtId="0" fontId="24" fillId="0" borderId="17" xfId="0" applyFont="1" applyFill="1" applyBorder="1" applyAlignment="1">
      <alignment vertical="center" wrapText="1"/>
    </xf>
    <xf numFmtId="0" fontId="24" fillId="0" borderId="18" xfId="0" applyFont="1" applyFill="1" applyBorder="1" applyAlignment="1">
      <alignment horizontal="center" vertical="center"/>
    </xf>
    <xf numFmtId="0" fontId="24" fillId="0" borderId="19" xfId="0" applyFont="1" applyFill="1" applyBorder="1" applyAlignment="1">
      <alignment vertical="center"/>
    </xf>
    <xf numFmtId="0" fontId="22" fillId="0" borderId="20" xfId="0" applyFont="1" applyFill="1" applyBorder="1" applyAlignment="1">
      <alignment horizontal="center" vertical="center"/>
    </xf>
    <xf numFmtId="0" fontId="22" fillId="0" borderId="21" xfId="0" applyFont="1" applyFill="1" applyBorder="1" applyAlignment="1">
      <alignment vertical="center"/>
    </xf>
    <xf numFmtId="0" fontId="24" fillId="0" borderId="22" xfId="0" applyFont="1" applyFill="1" applyBorder="1" applyAlignment="1">
      <alignment horizontal="center" vertical="center"/>
    </xf>
    <xf numFmtId="0" fontId="24" fillId="0" borderId="23" xfId="0" applyFont="1" applyFill="1" applyBorder="1" applyAlignment="1">
      <alignment vertical="center" wrapText="1"/>
    </xf>
    <xf numFmtId="0" fontId="0" fillId="0" borderId="16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vertical="center"/>
    </xf>
    <xf numFmtId="0" fontId="20" fillId="0" borderId="16" xfId="0" applyFont="1" applyFill="1" applyBorder="1" applyAlignment="1">
      <alignment horizontal="center" vertical="center"/>
    </xf>
    <xf numFmtId="0" fontId="20" fillId="0" borderId="0" xfId="0" applyFont="1" applyFill="1" applyAlignment="1">
      <alignment vertical="center"/>
    </xf>
    <xf numFmtId="0" fontId="0" fillId="0" borderId="25" xfId="0" applyFill="1" applyBorder="1" applyAlignment="1">
      <alignment horizontal="center" vertical="center"/>
    </xf>
    <xf numFmtId="0" fontId="0" fillId="0" borderId="15" xfId="0" applyFill="1" applyBorder="1" applyAlignment="1">
      <alignment vertical="center"/>
    </xf>
    <xf numFmtId="14" fontId="0" fillId="0" borderId="16" xfId="0" applyNumberFormat="1" applyFill="1" applyBorder="1" applyAlignment="1">
      <alignment horizontal="center" vertical="center"/>
    </xf>
    <xf numFmtId="0" fontId="0" fillId="0" borderId="17" xfId="0" applyFill="1" applyBorder="1" applyAlignment="1">
      <alignment vertical="center" wrapText="1"/>
    </xf>
    <xf numFmtId="0" fontId="0" fillId="0" borderId="17" xfId="0" applyFont="1" applyFill="1" applyBorder="1" applyAlignment="1">
      <alignment vertical="center"/>
    </xf>
    <xf numFmtId="49" fontId="0" fillId="0" borderId="16" xfId="0" applyNumberFormat="1" applyFill="1" applyBorder="1" applyAlignment="1">
      <alignment horizontal="center" vertical="center"/>
    </xf>
    <xf numFmtId="0" fontId="0" fillId="0" borderId="15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22" fillId="0" borderId="0" xfId="0" applyFont="1" applyFill="1" applyAlignment="1">
      <alignment vertical="center"/>
    </xf>
    <xf numFmtId="174" fontId="0" fillId="0" borderId="16" xfId="0" applyNumberFormat="1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vertical="center"/>
    </xf>
    <xf numFmtId="0" fontId="0" fillId="0" borderId="17" xfId="0" applyFont="1" applyFill="1" applyBorder="1" applyAlignment="1">
      <alignment horizontal="left" vertical="center"/>
    </xf>
    <xf numFmtId="0" fontId="22" fillId="0" borderId="21" xfId="0" applyFont="1" applyFill="1" applyBorder="1" applyAlignment="1">
      <alignment vertical="center" wrapText="1"/>
    </xf>
    <xf numFmtId="0" fontId="22" fillId="0" borderId="11" xfId="0" applyFont="1" applyFill="1" applyBorder="1" applyAlignment="1">
      <alignment vertical="center"/>
    </xf>
    <xf numFmtId="0" fontId="22" fillId="0" borderId="13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vertical="center"/>
    </xf>
    <xf numFmtId="0" fontId="0" fillId="0" borderId="24" xfId="0" applyFont="1" applyFill="1" applyBorder="1" applyAlignment="1">
      <alignment vertical="center" wrapText="1"/>
    </xf>
    <xf numFmtId="0" fontId="22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vertical="center"/>
    </xf>
    <xf numFmtId="0" fontId="0" fillId="0" borderId="0" xfId="0" applyFill="1" applyAlignment="1">
      <alignment horizontal="center" vertical="center"/>
    </xf>
    <xf numFmtId="172" fontId="0" fillId="0" borderId="0" xfId="0" applyNumberFormat="1" applyFill="1" applyAlignment="1">
      <alignment vertical="center"/>
    </xf>
    <xf numFmtId="49" fontId="22" fillId="0" borderId="0" xfId="0" applyNumberFormat="1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22" fillId="0" borderId="24" xfId="0" applyFont="1" applyFill="1" applyBorder="1" applyAlignment="1">
      <alignment vertical="center" wrapText="1"/>
    </xf>
    <xf numFmtId="4" fontId="22" fillId="0" borderId="24" xfId="0" applyNumberFormat="1" applyFont="1" applyFill="1" applyBorder="1" applyAlignment="1">
      <alignment horizontal="center" vertical="center"/>
    </xf>
    <xf numFmtId="4" fontId="22" fillId="0" borderId="21" xfId="0" applyNumberFormat="1" applyFont="1" applyFill="1" applyBorder="1" applyAlignment="1">
      <alignment horizontal="center" vertical="center"/>
    </xf>
    <xf numFmtId="4" fontId="22" fillId="0" borderId="11" xfId="0" applyNumberFormat="1" applyFont="1" applyFill="1" applyBorder="1" applyAlignment="1">
      <alignment horizontal="center" vertical="center" wrapText="1"/>
    </xf>
    <xf numFmtId="4" fontId="22" fillId="0" borderId="11" xfId="0" applyNumberFormat="1" applyFont="1" applyFill="1" applyBorder="1" applyAlignment="1">
      <alignment horizontal="center" vertical="center"/>
    </xf>
    <xf numFmtId="4" fontId="22" fillId="0" borderId="23" xfId="0" applyNumberFormat="1" applyFont="1" applyFill="1" applyBorder="1" applyAlignment="1">
      <alignment horizontal="center" vertical="center"/>
    </xf>
    <xf numFmtId="173" fontId="22" fillId="0" borderId="27" xfId="55" applyNumberFormat="1" applyFont="1" applyFill="1" applyBorder="1" applyAlignment="1">
      <alignment horizontal="center" vertical="center"/>
    </xf>
    <xf numFmtId="173" fontId="22" fillId="0" borderId="28" xfId="55" applyNumberFormat="1" applyFont="1" applyFill="1" applyBorder="1" applyAlignment="1">
      <alignment horizontal="center" vertical="center"/>
    </xf>
    <xf numFmtId="4" fontId="22" fillId="0" borderId="15" xfId="0" applyNumberFormat="1" applyFont="1" applyFill="1" applyBorder="1" applyAlignment="1">
      <alignment horizontal="center" vertical="center"/>
    </xf>
    <xf numFmtId="4" fontId="22" fillId="0" borderId="17" xfId="0" applyNumberFormat="1" applyFont="1" applyFill="1" applyBorder="1" applyAlignment="1">
      <alignment horizontal="center" vertical="center"/>
    </xf>
    <xf numFmtId="4" fontId="22" fillId="0" borderId="26" xfId="0" applyNumberFormat="1" applyFont="1" applyFill="1" applyBorder="1" applyAlignment="1">
      <alignment horizontal="center" vertical="center"/>
    </xf>
    <xf numFmtId="4" fontId="22" fillId="0" borderId="29" xfId="0" applyNumberFormat="1" applyFont="1" applyFill="1" applyBorder="1" applyAlignment="1">
      <alignment horizontal="center" vertical="center"/>
    </xf>
    <xf numFmtId="4" fontId="22" fillId="0" borderId="30" xfId="0" applyNumberFormat="1" applyFont="1" applyFill="1" applyBorder="1" applyAlignment="1">
      <alignment horizontal="center" vertical="center" wrapText="1"/>
    </xf>
    <xf numFmtId="4" fontId="22" fillId="0" borderId="30" xfId="0" applyNumberFormat="1" applyFont="1" applyFill="1" applyBorder="1" applyAlignment="1">
      <alignment horizontal="center" vertical="center"/>
    </xf>
    <xf numFmtId="4" fontId="22" fillId="0" borderId="19" xfId="0" applyNumberFormat="1" applyFont="1" applyFill="1" applyBorder="1" applyAlignment="1">
      <alignment horizontal="center" vertical="center"/>
    </xf>
    <xf numFmtId="4" fontId="0" fillId="0" borderId="31" xfId="0" applyNumberFormat="1" applyFont="1" applyFill="1" applyBorder="1" applyAlignment="1">
      <alignment horizontal="center" vertical="center"/>
    </xf>
    <xf numFmtId="4" fontId="0" fillId="0" borderId="32" xfId="0" applyNumberFormat="1" applyFont="1" applyFill="1" applyBorder="1" applyAlignment="1">
      <alignment horizontal="center" vertical="center"/>
    </xf>
    <xf numFmtId="4" fontId="0" fillId="0" borderId="33" xfId="0" applyNumberFormat="1" applyFont="1" applyFill="1" applyBorder="1" applyAlignment="1">
      <alignment horizontal="center" vertical="center"/>
    </xf>
    <xf numFmtId="4" fontId="0" fillId="0" borderId="24" xfId="0" applyNumberFormat="1" applyFont="1" applyFill="1" applyBorder="1" applyAlignment="1">
      <alignment horizontal="center" vertical="center"/>
    </xf>
    <xf numFmtId="4" fontId="22" fillId="0" borderId="34" xfId="0" applyNumberFormat="1" applyFont="1" applyFill="1" applyBorder="1" applyAlignment="1">
      <alignment horizontal="center" vertical="center"/>
    </xf>
    <xf numFmtId="4" fontId="22" fillId="0" borderId="35" xfId="0" applyNumberFormat="1" applyFont="1" applyFill="1" applyBorder="1" applyAlignment="1">
      <alignment horizontal="center" vertical="center"/>
    </xf>
    <xf numFmtId="4" fontId="0" fillId="0" borderId="17" xfId="0" applyNumberFormat="1" applyFont="1" applyFill="1" applyBorder="1" applyAlignment="1">
      <alignment horizontal="center" vertical="center"/>
    </xf>
    <xf numFmtId="4" fontId="0" fillId="0" borderId="34" xfId="0" applyNumberFormat="1" applyFont="1" applyFill="1" applyBorder="1" applyAlignment="1">
      <alignment horizontal="center" vertical="center"/>
    </xf>
    <xf numFmtId="4" fontId="0" fillId="0" borderId="15" xfId="0" applyNumberFormat="1" applyFont="1" applyFill="1" applyBorder="1" applyAlignment="1">
      <alignment horizontal="center" vertical="center"/>
    </xf>
    <xf numFmtId="4" fontId="0" fillId="0" borderId="36" xfId="0" applyNumberFormat="1" applyFont="1" applyFill="1" applyBorder="1" applyAlignment="1">
      <alignment horizontal="center" vertical="center"/>
    </xf>
    <xf numFmtId="4" fontId="0" fillId="0" borderId="17" xfId="0" applyNumberFormat="1" applyFont="1" applyFill="1" applyBorder="1" applyAlignment="1">
      <alignment horizontal="center" vertical="center" wrapText="1"/>
    </xf>
    <xf numFmtId="4" fontId="0" fillId="0" borderId="34" xfId="0" applyNumberFormat="1" applyFont="1" applyFill="1" applyBorder="1" applyAlignment="1">
      <alignment horizontal="center" vertical="center" wrapText="1"/>
    </xf>
    <xf numFmtId="4" fontId="0" fillId="0" borderId="15" xfId="0" applyNumberFormat="1" applyFont="1" applyFill="1" applyBorder="1" applyAlignment="1">
      <alignment horizontal="center" vertical="center" wrapText="1"/>
    </xf>
    <xf numFmtId="4" fontId="0" fillId="0" borderId="36" xfId="0" applyNumberFormat="1" applyFont="1" applyFill="1" applyBorder="1" applyAlignment="1">
      <alignment horizontal="center" vertical="center" wrapText="1"/>
    </xf>
    <xf numFmtId="4" fontId="0" fillId="0" borderId="19" xfId="0" applyNumberFormat="1" applyFont="1" applyFill="1" applyBorder="1" applyAlignment="1">
      <alignment horizontal="center" vertical="center"/>
    </xf>
    <xf numFmtId="4" fontId="0" fillId="0" borderId="35" xfId="0" applyNumberFormat="1" applyFont="1" applyFill="1" applyBorder="1" applyAlignment="1">
      <alignment horizontal="center" vertical="center"/>
    </xf>
    <xf numFmtId="4" fontId="0" fillId="0" borderId="26" xfId="0" applyNumberFormat="1" applyFont="1" applyFill="1" applyBorder="1" applyAlignment="1">
      <alignment horizontal="center" vertical="center"/>
    </xf>
    <xf numFmtId="173" fontId="22" fillId="0" borderId="37" xfId="55" applyNumberFormat="1" applyFont="1" applyFill="1" applyBorder="1" applyAlignment="1">
      <alignment horizontal="center" vertical="center"/>
    </xf>
    <xf numFmtId="173" fontId="0" fillId="0" borderId="37" xfId="55" applyNumberFormat="1" applyFont="1" applyFill="1" applyBorder="1" applyAlignment="1">
      <alignment horizontal="center" vertical="center"/>
    </xf>
    <xf numFmtId="173" fontId="0" fillId="0" borderId="38" xfId="55" applyNumberFormat="1" applyFont="1" applyFill="1" applyBorder="1" applyAlignment="1">
      <alignment horizontal="center" vertical="center"/>
    </xf>
    <xf numFmtId="173" fontId="22" fillId="0" borderId="39" xfId="55" applyNumberFormat="1" applyFont="1" applyFill="1" applyBorder="1" applyAlignment="1">
      <alignment horizontal="center" vertical="center"/>
    </xf>
    <xf numFmtId="173" fontId="0" fillId="0" borderId="28" xfId="55" applyNumberFormat="1" applyFont="1" applyFill="1" applyBorder="1" applyAlignment="1">
      <alignment horizontal="center" vertical="center"/>
    </xf>
    <xf numFmtId="173" fontId="0" fillId="0" borderId="40" xfId="55" applyNumberFormat="1" applyFont="1" applyFill="1" applyBorder="1" applyAlignment="1">
      <alignment horizontal="center" vertical="center"/>
    </xf>
    <xf numFmtId="173" fontId="0" fillId="0" borderId="28" xfId="55" applyNumberFormat="1" applyFont="1" applyFill="1" applyBorder="1" applyAlignment="1">
      <alignment horizontal="center" vertical="center" wrapText="1"/>
    </xf>
    <xf numFmtId="173" fontId="0" fillId="0" borderId="40" xfId="55" applyNumberFormat="1" applyFont="1" applyFill="1" applyBorder="1" applyAlignment="1">
      <alignment horizontal="center" vertical="center" wrapText="1"/>
    </xf>
    <xf numFmtId="173" fontId="22" fillId="0" borderId="41" xfId="55" applyNumberFormat="1" applyFont="1" applyFill="1" applyBorder="1" applyAlignment="1">
      <alignment horizontal="center" vertical="center" wrapText="1"/>
    </xf>
    <xf numFmtId="173" fontId="22" fillId="0" borderId="41" xfId="55" applyNumberFormat="1" applyFont="1" applyFill="1" applyBorder="1" applyAlignment="1">
      <alignment horizontal="center" vertical="center"/>
    </xf>
    <xf numFmtId="173" fontId="0" fillId="0" borderId="42" xfId="55" applyNumberFormat="1" applyFont="1" applyFill="1" applyBorder="1" applyAlignment="1">
      <alignment horizontal="center" vertical="center"/>
    </xf>
    <xf numFmtId="173" fontId="22" fillId="0" borderId="40" xfId="55" applyNumberFormat="1" applyFont="1" applyFill="1" applyBorder="1" applyAlignment="1">
      <alignment horizontal="center" vertical="center"/>
    </xf>
    <xf numFmtId="0" fontId="23" fillId="24" borderId="43" xfId="0" applyFont="1" applyFill="1" applyBorder="1" applyAlignment="1">
      <alignment horizontal="center" vertical="center" wrapText="1"/>
    </xf>
    <xf numFmtId="4" fontId="22" fillId="24" borderId="24" xfId="0" applyNumberFormat="1" applyFont="1" applyFill="1" applyBorder="1" applyAlignment="1">
      <alignment horizontal="center" vertical="center"/>
    </xf>
    <xf numFmtId="4" fontId="22" fillId="24" borderId="44" xfId="0" applyNumberFormat="1" applyFont="1" applyFill="1" applyBorder="1" applyAlignment="1">
      <alignment horizontal="center" vertical="center"/>
    </xf>
    <xf numFmtId="4" fontId="0" fillId="24" borderId="45" xfId="0" applyNumberFormat="1" applyFont="1" applyFill="1" applyBorder="1" applyAlignment="1">
      <alignment horizontal="center" vertical="center"/>
    </xf>
    <xf numFmtId="4" fontId="22" fillId="24" borderId="46" xfId="0" applyNumberFormat="1" applyFont="1" applyFill="1" applyBorder="1" applyAlignment="1">
      <alignment horizontal="center" vertical="center"/>
    </xf>
    <xf numFmtId="4" fontId="22" fillId="24" borderId="47" xfId="0" applyNumberFormat="1" applyFont="1" applyFill="1" applyBorder="1" applyAlignment="1">
      <alignment horizontal="center" vertical="center"/>
    </xf>
    <xf numFmtId="4" fontId="22" fillId="24" borderId="21" xfId="0" applyNumberFormat="1" applyFont="1" applyFill="1" applyBorder="1" applyAlignment="1">
      <alignment horizontal="center" vertical="center"/>
    </xf>
    <xf numFmtId="4" fontId="22" fillId="24" borderId="23" xfId="0" applyNumberFormat="1" applyFont="1" applyFill="1" applyBorder="1" applyAlignment="1">
      <alignment horizontal="center" vertical="center"/>
    </xf>
    <xf numFmtId="4" fontId="0" fillId="24" borderId="17" xfId="0" applyNumberFormat="1" applyFont="1" applyFill="1" applyBorder="1" applyAlignment="1">
      <alignment horizontal="center" vertical="center"/>
    </xf>
    <xf numFmtId="4" fontId="0" fillId="24" borderId="46" xfId="0" applyNumberFormat="1" applyFont="1" applyFill="1" applyBorder="1" applyAlignment="1">
      <alignment horizontal="center" vertical="center"/>
    </xf>
    <xf numFmtId="4" fontId="0" fillId="24" borderId="46" xfId="0" applyNumberFormat="1" applyFont="1" applyFill="1" applyBorder="1" applyAlignment="1">
      <alignment horizontal="center" vertical="center" wrapText="1"/>
    </xf>
    <xf numFmtId="4" fontId="22" fillId="24" borderId="48" xfId="0" applyNumberFormat="1" applyFont="1" applyFill="1" applyBorder="1" applyAlignment="1">
      <alignment horizontal="center" vertical="center"/>
    </xf>
    <xf numFmtId="4" fontId="22" fillId="24" borderId="49" xfId="0" applyNumberFormat="1" applyFont="1" applyFill="1" applyBorder="1" applyAlignment="1">
      <alignment horizontal="center" vertical="center"/>
    </xf>
    <xf numFmtId="4" fontId="0" fillId="24" borderId="47" xfId="0" applyNumberFormat="1" applyFont="1" applyFill="1" applyBorder="1" applyAlignment="1">
      <alignment horizontal="center" vertical="center"/>
    </xf>
    <xf numFmtId="0" fontId="20" fillId="0" borderId="17" xfId="0" applyFont="1" applyFill="1" applyBorder="1" applyAlignment="1">
      <alignment vertical="center" wrapText="1"/>
    </xf>
    <xf numFmtId="4" fontId="0" fillId="0" borderId="46" xfId="0" applyNumberFormat="1" applyFont="1" applyFill="1" applyBorder="1" applyAlignment="1">
      <alignment horizontal="center" vertical="center"/>
    </xf>
    <xf numFmtId="0" fontId="20" fillId="0" borderId="31" xfId="0" applyFont="1" applyFill="1" applyBorder="1" applyAlignment="1">
      <alignment vertical="center"/>
    </xf>
    <xf numFmtId="4" fontId="0" fillId="0" borderId="50" xfId="0" applyNumberFormat="1" applyFont="1" applyFill="1" applyBorder="1" applyAlignment="1">
      <alignment horizontal="center" vertical="center"/>
    </xf>
    <xf numFmtId="4" fontId="0" fillId="0" borderId="44" xfId="0" applyNumberFormat="1" applyFont="1" applyFill="1" applyBorder="1" applyAlignment="1">
      <alignment horizontal="center" vertical="center"/>
    </xf>
    <xf numFmtId="4" fontId="0" fillId="0" borderId="46" xfId="0" applyNumberFormat="1" applyFont="1" applyFill="1" applyBorder="1" applyAlignment="1">
      <alignment horizontal="center" vertical="center" wrapText="1"/>
    </xf>
    <xf numFmtId="4" fontId="0" fillId="0" borderId="44" xfId="0" applyNumberFormat="1" applyFont="1" applyFill="1" applyBorder="1" applyAlignment="1">
      <alignment horizontal="center" vertical="center" wrapText="1"/>
    </xf>
    <xf numFmtId="4" fontId="0" fillId="0" borderId="0" xfId="0" applyNumberFormat="1" applyFill="1" applyAlignment="1">
      <alignment vertical="center"/>
    </xf>
    <xf numFmtId="4" fontId="28" fillId="0" borderId="17" xfId="0" applyNumberFormat="1" applyFont="1" applyFill="1" applyBorder="1" applyAlignment="1">
      <alignment horizontal="center" vertical="top" wrapText="1"/>
    </xf>
    <xf numFmtId="4" fontId="28" fillId="0" borderId="26" xfId="0" applyNumberFormat="1" applyFont="1" applyFill="1" applyBorder="1" applyAlignment="1">
      <alignment horizontal="center" vertical="top" wrapText="1"/>
    </xf>
    <xf numFmtId="10" fontId="21" fillId="0" borderId="28" xfId="55" applyNumberFormat="1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vertical="center" wrapText="1"/>
    </xf>
    <xf numFmtId="10" fontId="21" fillId="0" borderId="42" xfId="55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horizontal="center" vertical="center"/>
    </xf>
    <xf numFmtId="172" fontId="22" fillId="0" borderId="0" xfId="0" applyNumberFormat="1" applyFont="1" applyFill="1" applyBorder="1" applyAlignment="1">
      <alignment horizontal="center" vertical="center"/>
    </xf>
    <xf numFmtId="0" fontId="24" fillId="0" borderId="17" xfId="0" applyFont="1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25" borderId="17" xfId="0" applyFill="1" applyBorder="1" applyAlignment="1">
      <alignment horizontal="left" vertical="center"/>
    </xf>
    <xf numFmtId="4" fontId="22" fillId="24" borderId="17" xfId="0" applyNumberFormat="1" applyFont="1" applyFill="1" applyBorder="1" applyAlignment="1">
      <alignment horizontal="center" vertical="center"/>
    </xf>
    <xf numFmtId="4" fontId="0" fillId="0" borderId="17" xfId="0" applyNumberForma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left" vertical="center"/>
    </xf>
    <xf numFmtId="0" fontId="30" fillId="0" borderId="17" xfId="0" applyFont="1" applyFill="1" applyBorder="1" applyAlignment="1">
      <alignment horizontal="left" vertical="center"/>
    </xf>
    <xf numFmtId="0" fontId="18" fillId="0" borderId="17" xfId="0" applyFont="1" applyFill="1" applyBorder="1" applyAlignment="1">
      <alignment horizontal="left" vertical="center"/>
    </xf>
    <xf numFmtId="0" fontId="30" fillId="0" borderId="51" xfId="0" applyFont="1" applyFill="1" applyBorder="1" applyAlignment="1">
      <alignment horizontal="left" vertical="center"/>
    </xf>
    <xf numFmtId="0" fontId="30" fillId="0" borderId="52" xfId="0" applyFont="1" applyFill="1" applyBorder="1" applyAlignment="1">
      <alignment horizontal="left" vertical="center"/>
    </xf>
    <xf numFmtId="0" fontId="29" fillId="0" borderId="21" xfId="0" applyFont="1" applyFill="1" applyBorder="1" applyAlignment="1">
      <alignment horizontal="left" vertical="center"/>
    </xf>
    <xf numFmtId="0" fontId="30" fillId="0" borderId="23" xfId="0" applyFont="1" applyFill="1" applyBorder="1" applyAlignment="1">
      <alignment horizontal="left" vertical="center"/>
    </xf>
    <xf numFmtId="0" fontId="31" fillId="0" borderId="17" xfId="0" applyFont="1" applyFill="1" applyBorder="1" applyAlignment="1">
      <alignment horizontal="left" vertical="center"/>
    </xf>
    <xf numFmtId="0" fontId="18" fillId="0" borderId="15" xfId="0" applyFont="1" applyFill="1" applyBorder="1" applyAlignment="1">
      <alignment horizontal="left" vertical="center"/>
    </xf>
    <xf numFmtId="0" fontId="29" fillId="0" borderId="11" xfId="0" applyFont="1" applyFill="1" applyBorder="1" applyAlignment="1">
      <alignment horizontal="left" vertical="center"/>
    </xf>
    <xf numFmtId="0" fontId="18" fillId="0" borderId="45" xfId="0" applyFont="1" applyFill="1" applyBorder="1" applyAlignment="1">
      <alignment horizontal="left" vertical="center"/>
    </xf>
    <xf numFmtId="0" fontId="18" fillId="0" borderId="47" xfId="0" applyFont="1" applyFill="1" applyBorder="1" applyAlignment="1">
      <alignment horizontal="left" vertical="center"/>
    </xf>
    <xf numFmtId="0" fontId="18" fillId="0" borderId="19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left" vertical="center"/>
    </xf>
    <xf numFmtId="0" fontId="18" fillId="0" borderId="0" xfId="0" applyFont="1" applyFill="1" applyAlignment="1">
      <alignment horizontal="left" vertical="center"/>
    </xf>
    <xf numFmtId="0" fontId="29" fillId="0" borderId="0" xfId="0" applyFont="1" applyFill="1" applyBorder="1" applyAlignment="1">
      <alignment horizontal="left" vertical="center" wrapText="1"/>
    </xf>
    <xf numFmtId="14" fontId="0" fillId="0" borderId="16" xfId="0" applyNumberFormat="1" applyFont="1" applyFill="1" applyBorder="1" applyAlignment="1">
      <alignment horizontal="center" vertical="center"/>
    </xf>
    <xf numFmtId="4" fontId="28" fillId="0" borderId="15" xfId="0" applyNumberFormat="1" applyFont="1" applyFill="1" applyBorder="1" applyAlignment="1">
      <alignment horizontal="center" vertical="top" wrapText="1"/>
    </xf>
    <xf numFmtId="10" fontId="21" fillId="0" borderId="37" xfId="55" applyNumberFormat="1" applyFont="1" applyFill="1" applyBorder="1" applyAlignment="1">
      <alignment horizontal="center" vertical="center"/>
    </xf>
    <xf numFmtId="0" fontId="0" fillId="25" borderId="17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173" fontId="22" fillId="0" borderId="53" xfId="55" applyNumberFormat="1" applyFont="1" applyFill="1" applyBorder="1" applyAlignment="1">
      <alignment horizontal="center" vertical="center"/>
    </xf>
    <xf numFmtId="174" fontId="0" fillId="0" borderId="25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vertical="center" wrapText="1"/>
    </xf>
    <xf numFmtId="4" fontId="0" fillId="24" borderId="44" xfId="0" applyNumberFormat="1" applyFont="1" applyFill="1" applyBorder="1" applyAlignment="1">
      <alignment horizontal="center" vertical="center" wrapText="1"/>
    </xf>
    <xf numFmtId="0" fontId="22" fillId="0" borderId="54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vertical="center"/>
    </xf>
    <xf numFmtId="0" fontId="18" fillId="0" borderId="31" xfId="0" applyFont="1" applyFill="1" applyBorder="1" applyAlignment="1">
      <alignment horizontal="left" vertical="center"/>
    </xf>
    <xf numFmtId="4" fontId="28" fillId="0" borderId="31" xfId="0" applyNumberFormat="1" applyFont="1" applyFill="1" applyBorder="1" applyAlignment="1">
      <alignment horizontal="center" vertical="top" wrapText="1"/>
    </xf>
    <xf numFmtId="10" fontId="21" fillId="0" borderId="38" xfId="55" applyNumberFormat="1" applyFont="1" applyFill="1" applyBorder="1" applyAlignment="1">
      <alignment horizontal="center" vertical="center"/>
    </xf>
    <xf numFmtId="4" fontId="22" fillId="0" borderId="48" xfId="0" applyNumberFormat="1" applyFont="1" applyFill="1" applyBorder="1" applyAlignment="1">
      <alignment horizontal="center" vertical="center"/>
    </xf>
    <xf numFmtId="0" fontId="0" fillId="25" borderId="15" xfId="0" applyFont="1" applyFill="1" applyBorder="1" applyAlignment="1">
      <alignment horizontal="left" vertical="center" wrapText="1"/>
    </xf>
    <xf numFmtId="0" fontId="0" fillId="25" borderId="24" xfId="0" applyFont="1" applyFill="1" applyBorder="1" applyAlignment="1">
      <alignment vertical="center" wrapText="1"/>
    </xf>
    <xf numFmtId="4" fontId="22" fillId="25" borderId="21" xfId="0" applyNumberFormat="1" applyFont="1" applyFill="1" applyBorder="1" applyAlignment="1">
      <alignment horizontal="center" vertical="center"/>
    </xf>
    <xf numFmtId="4" fontId="22" fillId="25" borderId="39" xfId="0" applyNumberFormat="1" applyFont="1" applyFill="1" applyBorder="1" applyAlignment="1">
      <alignment horizontal="center" vertical="center"/>
    </xf>
    <xf numFmtId="173" fontId="22" fillId="0" borderId="42" xfId="55" applyNumberFormat="1" applyFont="1" applyFill="1" applyBorder="1" applyAlignment="1">
      <alignment horizontal="center" vertical="center"/>
    </xf>
    <xf numFmtId="4" fontId="28" fillId="26" borderId="50" xfId="0" applyNumberFormat="1" applyFont="1" applyFill="1" applyBorder="1" applyAlignment="1">
      <alignment horizontal="left" vertical="center" wrapText="1"/>
    </xf>
    <xf numFmtId="0" fontId="0" fillId="26" borderId="32" xfId="0" applyFill="1" applyBorder="1" applyAlignment="1">
      <alignment horizontal="left" vertical="center" wrapText="1"/>
    </xf>
    <xf numFmtId="4" fontId="28" fillId="26" borderId="46" xfId="0" applyNumberFormat="1" applyFont="1" applyFill="1" applyBorder="1" applyAlignment="1">
      <alignment horizontal="left" vertical="center" wrapText="1"/>
    </xf>
    <xf numFmtId="0" fontId="0" fillId="26" borderId="34" xfId="0" applyFill="1" applyBorder="1" applyAlignment="1">
      <alignment horizontal="left" vertical="center" wrapText="1"/>
    </xf>
    <xf numFmtId="4" fontId="0" fillId="0" borderId="24" xfId="0" applyNumberFormat="1" applyFont="1" applyFill="1" applyBorder="1" applyAlignment="1">
      <alignment horizontal="center" vertical="center"/>
    </xf>
    <xf numFmtId="173" fontId="0" fillId="0" borderId="37" xfId="55" applyNumberFormat="1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55" xfId="0" applyFill="1" applyBorder="1" applyAlignment="1">
      <alignment horizontal="center" vertical="center"/>
    </xf>
    <xf numFmtId="0" fontId="0" fillId="0" borderId="56" xfId="0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 wrapText="1"/>
    </xf>
    <xf numFmtId="0" fontId="18" fillId="0" borderId="19" xfId="0" applyFont="1" applyFill="1" applyBorder="1" applyAlignment="1">
      <alignment horizontal="center" vertical="center" wrapText="1"/>
    </xf>
    <xf numFmtId="0" fontId="0" fillId="0" borderId="57" xfId="0" applyFont="1" applyFill="1" applyBorder="1" applyAlignment="1">
      <alignment horizontal="center" vertical="center" wrapText="1"/>
    </xf>
    <xf numFmtId="0" fontId="0" fillId="0" borderId="58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2" fillId="0" borderId="19" xfId="0" applyFont="1" applyFill="1" applyBorder="1" applyAlignment="1">
      <alignment horizontal="center" vertical="center" wrapText="1"/>
    </xf>
    <xf numFmtId="0" fontId="22" fillId="0" borderId="41" xfId="0" applyFont="1" applyFill="1" applyBorder="1" applyAlignment="1">
      <alignment horizontal="center" vertical="center" wrapText="1"/>
    </xf>
    <xf numFmtId="0" fontId="22" fillId="0" borderId="42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0" fontId="0" fillId="0" borderId="13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4" fontId="22" fillId="0" borderId="13" xfId="0" applyNumberFormat="1" applyFont="1" applyFill="1" applyBorder="1" applyAlignment="1">
      <alignment horizontal="center" vertical="center"/>
    </xf>
    <xf numFmtId="172" fontId="0" fillId="0" borderId="0" xfId="0" applyNumberFormat="1" applyFont="1" applyFill="1" applyBorder="1" applyAlignment="1">
      <alignment vertical="center"/>
    </xf>
    <xf numFmtId="4" fontId="0" fillId="0" borderId="0" xfId="0" applyNumberFormat="1" applyFont="1" applyFill="1" applyBorder="1" applyAlignment="1">
      <alignment vertical="center"/>
    </xf>
    <xf numFmtId="172" fontId="24" fillId="0" borderId="33" xfId="0" applyNumberFormat="1" applyFont="1" applyFill="1" applyBorder="1" applyAlignment="1">
      <alignment horizontal="center" vertical="center"/>
    </xf>
    <xf numFmtId="172" fontId="0" fillId="0" borderId="0" xfId="0" applyNumberFormat="1" applyFont="1" applyFill="1" applyAlignment="1">
      <alignment vertical="center"/>
    </xf>
    <xf numFmtId="172" fontId="0" fillId="0" borderId="0" xfId="0" applyNumberFormat="1" applyFont="1" applyFill="1" applyBorder="1" applyAlignment="1">
      <alignment horizontal="center" vertical="center"/>
    </xf>
    <xf numFmtId="172" fontId="0" fillId="0" borderId="32" xfId="0" applyNumberFormat="1" applyFont="1" applyFill="1" applyBorder="1" applyAlignment="1">
      <alignment horizontal="center" vertical="center"/>
    </xf>
    <xf numFmtId="172" fontId="24" fillId="0" borderId="36" xfId="0" applyNumberFormat="1" applyFont="1" applyFill="1" applyBorder="1" applyAlignment="1">
      <alignment horizontal="center" vertical="center"/>
    </xf>
    <xf numFmtId="172" fontId="0" fillId="0" borderId="33" xfId="0" applyNumberFormat="1" applyFont="1" applyFill="1" applyBorder="1" applyAlignment="1">
      <alignment horizontal="center" vertical="center"/>
    </xf>
    <xf numFmtId="4" fontId="0" fillId="0" borderId="0" xfId="0" applyNumberFormat="1" applyFont="1" applyFill="1" applyAlignment="1">
      <alignment vertical="center"/>
    </xf>
    <xf numFmtId="172" fontId="24" fillId="0" borderId="34" xfId="0" applyNumberFormat="1" applyFont="1" applyFill="1" applyBorder="1" applyAlignment="1">
      <alignment horizontal="center" vertical="center"/>
    </xf>
    <xf numFmtId="172" fontId="24" fillId="0" borderId="35" xfId="0" applyNumberFormat="1" applyFont="1" applyFill="1" applyBorder="1" applyAlignment="1">
      <alignment horizontal="center" vertical="center"/>
    </xf>
    <xf numFmtId="172" fontId="22" fillId="0" borderId="29" xfId="0" applyNumberFormat="1" applyFont="1" applyFill="1" applyBorder="1" applyAlignment="1">
      <alignment horizontal="center" vertical="center"/>
    </xf>
    <xf numFmtId="172" fontId="24" fillId="0" borderId="59" xfId="0" applyNumberFormat="1" applyFont="1" applyFill="1" applyBorder="1" applyAlignment="1">
      <alignment horizontal="center" vertical="center"/>
    </xf>
    <xf numFmtId="172" fontId="0" fillId="0" borderId="34" xfId="0" applyNumberFormat="1" applyFont="1" applyFill="1" applyBorder="1" applyAlignment="1">
      <alignment horizontal="center" vertical="center"/>
    </xf>
    <xf numFmtId="172" fontId="20" fillId="0" borderId="34" xfId="0" applyNumberFormat="1" applyFont="1" applyFill="1" applyBorder="1" applyAlignment="1">
      <alignment horizontal="center" vertical="center"/>
    </xf>
    <xf numFmtId="172" fontId="20" fillId="0" borderId="32" xfId="0" applyNumberFormat="1" applyFont="1" applyFill="1" applyBorder="1" applyAlignment="1">
      <alignment horizontal="center" vertical="center"/>
    </xf>
    <xf numFmtId="172" fontId="0" fillId="0" borderId="36" xfId="0" applyNumberFormat="1" applyFont="1" applyFill="1" applyBorder="1" applyAlignment="1">
      <alignment horizontal="center" vertical="center"/>
    </xf>
    <xf numFmtId="172" fontId="0" fillId="0" borderId="34" xfId="0" applyNumberFormat="1" applyFont="1" applyFill="1" applyBorder="1" applyAlignment="1">
      <alignment horizontal="center" vertical="center" wrapText="1"/>
    </xf>
    <xf numFmtId="172" fontId="22" fillId="0" borderId="30" xfId="0" applyNumberFormat="1" applyFont="1" applyFill="1" applyBorder="1" applyAlignment="1">
      <alignment horizontal="center" vertical="center" wrapText="1"/>
    </xf>
    <xf numFmtId="4" fontId="22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horizontal="center" vertical="center"/>
    </xf>
    <xf numFmtId="172" fontId="0" fillId="0" borderId="60" xfId="0" applyNumberFormat="1" applyFont="1" applyFill="1" applyBorder="1" applyAlignment="1">
      <alignment horizontal="center" vertical="center" wrapText="1"/>
    </xf>
    <xf numFmtId="172" fontId="0" fillId="0" borderId="35" xfId="0" applyNumberFormat="1" applyFont="1" applyFill="1" applyBorder="1" applyAlignment="1">
      <alignment horizontal="center" vertical="center" wrapText="1"/>
    </xf>
    <xf numFmtId="172" fontId="22" fillId="0" borderId="21" xfId="0" applyNumberFormat="1" applyFont="1" applyFill="1" applyBorder="1" applyAlignment="1">
      <alignment horizontal="center" vertical="center"/>
    </xf>
    <xf numFmtId="4" fontId="22" fillId="0" borderId="0" xfId="0" applyNumberFormat="1" applyFont="1" applyFill="1" applyBorder="1" applyAlignment="1">
      <alignment horizontal="center" vertical="center"/>
    </xf>
    <xf numFmtId="172" fontId="22" fillId="24" borderId="21" xfId="0" applyNumberFormat="1" applyFont="1" applyFill="1" applyBorder="1" applyAlignment="1">
      <alignment horizontal="center" vertical="center"/>
    </xf>
    <xf numFmtId="172" fontId="22" fillId="0" borderId="30" xfId="0" applyNumberFormat="1" applyFont="1" applyFill="1" applyBorder="1" applyAlignment="1">
      <alignment horizontal="center" vertical="center"/>
    </xf>
    <xf numFmtId="4" fontId="22" fillId="0" borderId="49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0"/>
  <sheetViews>
    <sheetView tabSelected="1" zoomScalePageLayoutView="0" workbookViewId="0" topLeftCell="A1">
      <pane ySplit="3" topLeftCell="A35" activePane="bottomLeft" state="frozen"/>
      <selection pane="topLeft" activeCell="A1" sqref="A1"/>
      <selection pane="bottomLeft" activeCell="B37" sqref="B37"/>
    </sheetView>
  </sheetViews>
  <sheetFormatPr defaultColWidth="9.00390625" defaultRowHeight="21" customHeight="1"/>
  <cols>
    <col min="1" max="1" width="4.625" style="43" customWidth="1"/>
    <col min="2" max="2" width="46.00390625" style="1" customWidth="1"/>
    <col min="3" max="3" width="10.00390625" style="146" customWidth="1"/>
    <col min="4" max="4" width="18.625" style="1" hidden="1" customWidth="1"/>
    <col min="5" max="5" width="12.875" style="1" hidden="1" customWidth="1"/>
    <col min="6" max="6" width="18.75390625" style="1" customWidth="1"/>
    <col min="7" max="7" width="19.00390625" style="1" customWidth="1"/>
    <col min="8" max="8" width="12.00390625" style="1" customWidth="1"/>
    <col min="9" max="9" width="12.75390625" style="187" customWidth="1"/>
    <col min="10" max="10" width="11.00390625" style="187" hidden="1" customWidth="1"/>
    <col min="11" max="11" width="11.75390625" style="187" hidden="1" customWidth="1"/>
    <col min="12" max="12" width="12.125" style="187" hidden="1" customWidth="1"/>
    <col min="13" max="13" width="12.00390625" style="187" customWidth="1"/>
    <col min="14" max="22" width="9.125" style="1" customWidth="1"/>
    <col min="23" max="16384" width="9.125" style="1" customWidth="1"/>
  </cols>
  <sheetData>
    <row r="1" spans="1:8" ht="48" customHeight="1" thickBot="1">
      <c r="A1" s="174" t="s">
        <v>89</v>
      </c>
      <c r="B1" s="174"/>
      <c r="C1" s="174"/>
      <c r="D1" s="174"/>
      <c r="E1" s="174"/>
      <c r="F1" s="174"/>
      <c r="G1" s="174"/>
      <c r="H1" s="174"/>
    </row>
    <row r="2" spans="1:11" ht="20.25" customHeight="1">
      <c r="A2" s="175" t="s">
        <v>0</v>
      </c>
      <c r="B2" s="177" t="s">
        <v>1</v>
      </c>
      <c r="C2" s="179" t="s">
        <v>2</v>
      </c>
      <c r="D2" s="181" t="s">
        <v>83</v>
      </c>
      <c r="E2" s="182"/>
      <c r="F2" s="183" t="s">
        <v>90</v>
      </c>
      <c r="G2" s="183" t="s">
        <v>91</v>
      </c>
      <c r="H2" s="185" t="s">
        <v>3</v>
      </c>
      <c r="K2" s="188"/>
    </row>
    <row r="3" spans="1:18" ht="20.25" customHeight="1" thickBot="1">
      <c r="A3" s="176"/>
      <c r="B3" s="178"/>
      <c r="C3" s="180"/>
      <c r="D3" s="51" t="s">
        <v>84</v>
      </c>
      <c r="E3" s="96" t="s">
        <v>80</v>
      </c>
      <c r="F3" s="184"/>
      <c r="G3" s="184"/>
      <c r="H3" s="186"/>
      <c r="I3" s="189"/>
      <c r="J3" s="190"/>
      <c r="K3" s="190"/>
      <c r="L3" s="190"/>
      <c r="M3" s="190"/>
      <c r="N3" s="152"/>
      <c r="O3" s="152"/>
      <c r="P3" s="152"/>
      <c r="Q3" s="152"/>
      <c r="R3" s="152"/>
    </row>
    <row r="4" spans="1:18" ht="30.75" customHeight="1">
      <c r="A4" s="2" t="s">
        <v>4</v>
      </c>
      <c r="B4" s="52" t="s">
        <v>5</v>
      </c>
      <c r="C4" s="132" t="s">
        <v>6</v>
      </c>
      <c r="D4" s="53">
        <f>D5+D10+D13+D17+D18+D19</f>
        <v>1705648.7200000002</v>
      </c>
      <c r="E4" s="97">
        <f>E5+E10+E13+E17+E18+E19</f>
        <v>831320.95</v>
      </c>
      <c r="F4" s="53">
        <f>F5+F10+F13+F17+F18+F19</f>
        <v>1601896.84</v>
      </c>
      <c r="G4" s="53">
        <f>G5+G10+G13+G17+G18+G19</f>
        <v>1553532.1099999999</v>
      </c>
      <c r="H4" s="84">
        <f>G4/F4</f>
        <v>0.9698078373136686</v>
      </c>
      <c r="I4" s="191"/>
      <c r="J4" s="126"/>
      <c r="K4" s="190"/>
      <c r="L4" s="192"/>
      <c r="M4" s="193"/>
      <c r="N4" s="152"/>
      <c r="O4" s="152"/>
      <c r="P4" s="152"/>
      <c r="Q4" s="152"/>
      <c r="R4" s="152"/>
    </row>
    <row r="5" spans="1:12" s="5" customFormat="1" ht="21" customHeight="1">
      <c r="A5" s="4" t="s">
        <v>7</v>
      </c>
      <c r="B5" s="127" t="s">
        <v>8</v>
      </c>
      <c r="C5" s="133" t="s">
        <v>6</v>
      </c>
      <c r="D5" s="61">
        <f>SUM(D6:D8)+D9</f>
        <v>396702.3</v>
      </c>
      <c r="E5" s="130">
        <f>SUM(E6:E8)+E9</f>
        <v>166887.58999999997</v>
      </c>
      <c r="F5" s="61">
        <f>SUM(F6:F8)+F9</f>
        <v>422785.49</v>
      </c>
      <c r="G5" s="61">
        <f>SUM(G6:G8)+G9</f>
        <v>457391.51</v>
      </c>
      <c r="H5" s="95">
        <f>G5/F5</f>
        <v>1.0818524306498787</v>
      </c>
      <c r="I5" s="191"/>
      <c r="J5" s="194"/>
      <c r="K5" s="187"/>
      <c r="L5" s="195"/>
    </row>
    <row r="6" spans="1:12" ht="21" customHeight="1">
      <c r="A6" s="6" t="s">
        <v>9</v>
      </c>
      <c r="B6" s="128" t="s">
        <v>10</v>
      </c>
      <c r="C6" s="134" t="s">
        <v>6</v>
      </c>
      <c r="D6" s="73">
        <v>57066.49</v>
      </c>
      <c r="E6" s="104">
        <v>19827.2</v>
      </c>
      <c r="F6" s="73">
        <f>12533.55+13690.9</f>
        <v>26224.449999999997</v>
      </c>
      <c r="G6" s="73">
        <f>38389.3+3496.35</f>
        <v>41885.65</v>
      </c>
      <c r="H6" s="88">
        <f aca="true" t="shared" si="0" ref="H6:H53">G6/F6</f>
        <v>1.5971984159820323</v>
      </c>
      <c r="I6" s="189"/>
      <c r="J6" s="196"/>
      <c r="L6" s="195"/>
    </row>
    <row r="7" spans="1:12" ht="21" customHeight="1">
      <c r="A7" s="6" t="s">
        <v>11</v>
      </c>
      <c r="B7" s="128" t="s">
        <v>12</v>
      </c>
      <c r="C7" s="134" t="s">
        <v>6</v>
      </c>
      <c r="D7" s="73">
        <v>103510.3</v>
      </c>
      <c r="E7" s="104">
        <v>56319.25</v>
      </c>
      <c r="F7" s="131">
        <f>41907.76+49640.01</f>
        <v>91547.77</v>
      </c>
      <c r="G7" s="73">
        <f>100239.45+7982.52</f>
        <v>108221.97</v>
      </c>
      <c r="H7" s="88">
        <f t="shared" si="0"/>
        <v>1.1821366047474449</v>
      </c>
      <c r="I7" s="189"/>
      <c r="J7" s="196"/>
      <c r="L7" s="195"/>
    </row>
    <row r="8" spans="1:12" ht="21" customHeight="1">
      <c r="A8" s="6" t="s">
        <v>13</v>
      </c>
      <c r="B8" s="128" t="s">
        <v>14</v>
      </c>
      <c r="C8" s="134" t="s">
        <v>6</v>
      </c>
      <c r="D8" s="73">
        <v>225520.82</v>
      </c>
      <c r="E8" s="104">
        <v>88338.34</v>
      </c>
      <c r="F8" s="131">
        <f>142501.27+150137.1</f>
        <v>292638.37</v>
      </c>
      <c r="G8" s="73">
        <f>267212.64+27210.65</f>
        <v>294423.29000000004</v>
      </c>
      <c r="H8" s="88">
        <f t="shared" si="0"/>
        <v>1.0060994052147025</v>
      </c>
      <c r="I8" s="189"/>
      <c r="J8" s="196"/>
      <c r="L8" s="195"/>
    </row>
    <row r="9" spans="1:12" ht="21" customHeight="1">
      <c r="A9" s="7" t="s">
        <v>15</v>
      </c>
      <c r="B9" s="128" t="s">
        <v>16</v>
      </c>
      <c r="C9" s="134" t="s">
        <v>6</v>
      </c>
      <c r="D9" s="73">
        <v>10604.69</v>
      </c>
      <c r="E9" s="104">
        <v>2402.8</v>
      </c>
      <c r="F9" s="73">
        <f>5681.77+6693.13</f>
        <v>12374.900000000001</v>
      </c>
      <c r="G9" s="73">
        <f>10831.73+2028.87</f>
        <v>12860.599999999999</v>
      </c>
      <c r="H9" s="88">
        <f t="shared" si="0"/>
        <v>1.039248802010521</v>
      </c>
      <c r="I9" s="189"/>
      <c r="J9" s="197"/>
      <c r="L9" s="195"/>
    </row>
    <row r="10" spans="1:12" s="5" customFormat="1" ht="21" customHeight="1">
      <c r="A10" s="8" t="s">
        <v>17</v>
      </c>
      <c r="B10" s="13" t="s">
        <v>18</v>
      </c>
      <c r="C10" s="133" t="s">
        <v>6</v>
      </c>
      <c r="D10" s="61">
        <f>D11+D12</f>
        <v>588724.79</v>
      </c>
      <c r="E10" s="130">
        <f>E11+E12</f>
        <v>329139.88999999996</v>
      </c>
      <c r="F10" s="61">
        <f>F11+F12</f>
        <v>728397.4000000001</v>
      </c>
      <c r="G10" s="61">
        <f>G11+G12</f>
        <v>801571.1</v>
      </c>
      <c r="H10" s="59">
        <f t="shared" si="0"/>
        <v>1.100458485985809</v>
      </c>
      <c r="I10" s="191"/>
      <c r="J10" s="198"/>
      <c r="K10" s="187"/>
      <c r="L10" s="195"/>
    </row>
    <row r="11" spans="1:12" ht="27" customHeight="1">
      <c r="A11" s="6" t="s">
        <v>19</v>
      </c>
      <c r="B11" s="27" t="s">
        <v>20</v>
      </c>
      <c r="C11" s="134" t="s">
        <v>6</v>
      </c>
      <c r="D11" s="73">
        <v>536614.64</v>
      </c>
      <c r="E11" s="73">
        <v>298432.79</v>
      </c>
      <c r="F11" s="73">
        <f>317685.03+340891.58</f>
        <v>658576.6100000001</v>
      </c>
      <c r="G11" s="73">
        <f>616833.85+55851.36</f>
        <v>672685.21</v>
      </c>
      <c r="H11" s="88">
        <f t="shared" si="0"/>
        <v>1.0214228683281052</v>
      </c>
      <c r="I11" s="189"/>
      <c r="J11" s="199"/>
      <c r="L11" s="195"/>
    </row>
    <row r="12" spans="1:12" ht="21" customHeight="1">
      <c r="A12" s="7" t="s">
        <v>21</v>
      </c>
      <c r="B12" s="128" t="s">
        <v>22</v>
      </c>
      <c r="C12" s="134" t="s">
        <v>6</v>
      </c>
      <c r="D12" s="73">
        <v>52110.15</v>
      </c>
      <c r="E12" s="73">
        <v>30707.1</v>
      </c>
      <c r="F12" s="73">
        <f>31164.99+38655.8</f>
        <v>69820.79000000001</v>
      </c>
      <c r="G12" s="73">
        <f>67555.6+61330.29</f>
        <v>128885.89000000001</v>
      </c>
      <c r="H12" s="88">
        <f t="shared" si="0"/>
        <v>1.845952903139595</v>
      </c>
      <c r="I12" s="189"/>
      <c r="J12" s="197"/>
      <c r="L12" s="195"/>
    </row>
    <row r="13" spans="1:12" s="5" customFormat="1" ht="21" customHeight="1">
      <c r="A13" s="9" t="s">
        <v>23</v>
      </c>
      <c r="B13" s="127" t="s">
        <v>24</v>
      </c>
      <c r="C13" s="133" t="s">
        <v>6</v>
      </c>
      <c r="D13" s="61">
        <f>D14+D16</f>
        <v>475675.30000000005</v>
      </c>
      <c r="E13" s="130">
        <f>E14+E16</f>
        <v>198487.07</v>
      </c>
      <c r="F13" s="61">
        <f>F14+F16+F15</f>
        <v>237665.51</v>
      </c>
      <c r="G13" s="61">
        <f>G14+G16</f>
        <v>17907.21</v>
      </c>
      <c r="H13" s="59">
        <f t="shared" si="0"/>
        <v>0.07534627132056308</v>
      </c>
      <c r="J13" s="194"/>
      <c r="K13" s="187"/>
      <c r="L13" s="195"/>
    </row>
    <row r="14" spans="1:12" ht="21" customHeight="1">
      <c r="A14" s="10" t="s">
        <v>25</v>
      </c>
      <c r="B14" s="129" t="s">
        <v>93</v>
      </c>
      <c r="C14" s="134" t="s">
        <v>6</v>
      </c>
      <c r="D14" s="73">
        <v>475647.9</v>
      </c>
      <c r="E14" s="104">
        <v>198481.12</v>
      </c>
      <c r="F14" s="73">
        <v>120332.61</v>
      </c>
      <c r="G14" s="73">
        <v>15300</v>
      </c>
      <c r="H14" s="88">
        <f t="shared" si="0"/>
        <v>0.12714757869874177</v>
      </c>
      <c r="I14" s="200"/>
      <c r="J14" s="199"/>
      <c r="L14" s="195"/>
    </row>
    <row r="15" spans="1:12" ht="21" customHeight="1">
      <c r="A15" s="10" t="s">
        <v>26</v>
      </c>
      <c r="B15" s="129" t="s">
        <v>94</v>
      </c>
      <c r="C15" s="134" t="s">
        <v>6</v>
      </c>
      <c r="D15" s="73"/>
      <c r="E15" s="104"/>
      <c r="F15" s="73">
        <f>51320.92+64708.37</f>
        <v>116029.29000000001</v>
      </c>
      <c r="G15" s="73">
        <f>54150.58+64708.37</f>
        <v>118858.95000000001</v>
      </c>
      <c r="H15" s="88">
        <f t="shared" si="0"/>
        <v>1.0243874628552843</v>
      </c>
      <c r="I15" s="200"/>
      <c r="J15" s="199"/>
      <c r="L15" s="195"/>
    </row>
    <row r="16" spans="1:12" ht="21" customHeight="1">
      <c r="A16" s="10" t="s">
        <v>92</v>
      </c>
      <c r="B16" s="129" t="s">
        <v>95</v>
      </c>
      <c r="C16" s="134" t="s">
        <v>6</v>
      </c>
      <c r="D16" s="73">
        <v>27.4</v>
      </c>
      <c r="E16" s="104">
        <v>5.95</v>
      </c>
      <c r="F16" s="73">
        <v>1303.61</v>
      </c>
      <c r="G16" s="73">
        <v>2607.21</v>
      </c>
      <c r="H16" s="88">
        <f t="shared" si="0"/>
        <v>1.9999923289941013</v>
      </c>
      <c r="J16" s="197"/>
      <c r="L16" s="195"/>
    </row>
    <row r="17" spans="1:12" s="5" customFormat="1" ht="53.25" customHeight="1">
      <c r="A17" s="4" t="s">
        <v>27</v>
      </c>
      <c r="B17" s="11" t="s">
        <v>28</v>
      </c>
      <c r="C17" s="133" t="s">
        <v>6</v>
      </c>
      <c r="D17" s="60">
        <v>83110.5</v>
      </c>
      <c r="E17" s="98">
        <v>53772</v>
      </c>
      <c r="F17" s="60">
        <f>68083.82+13520.83</f>
        <v>81604.65000000001</v>
      </c>
      <c r="G17" s="71">
        <f>118421.1+11209.61</f>
        <v>129630.71</v>
      </c>
      <c r="H17" s="59">
        <f t="shared" si="0"/>
        <v>1.588521119813638</v>
      </c>
      <c r="J17" s="201"/>
      <c r="K17" s="187"/>
      <c r="L17" s="195"/>
    </row>
    <row r="18" spans="1:12" s="5" customFormat="1" ht="53.25" customHeight="1">
      <c r="A18" s="12" t="s">
        <v>29</v>
      </c>
      <c r="B18" s="13" t="s">
        <v>30</v>
      </c>
      <c r="C18" s="135" t="s">
        <v>6</v>
      </c>
      <c r="D18" s="61">
        <v>107451.53</v>
      </c>
      <c r="E18" s="100">
        <v>53555.52</v>
      </c>
      <c r="F18" s="61">
        <f>40097.66+34599.86</f>
        <v>74697.52</v>
      </c>
      <c r="G18" s="71">
        <f>59247.67+28806.36</f>
        <v>88054.03</v>
      </c>
      <c r="H18" s="59">
        <f t="shared" si="0"/>
        <v>1.178807944360134</v>
      </c>
      <c r="J18" s="201"/>
      <c r="K18" s="187"/>
      <c r="L18" s="195"/>
    </row>
    <row r="19" spans="1:12" s="5" customFormat="1" ht="21" customHeight="1" thickBot="1">
      <c r="A19" s="14" t="s">
        <v>31</v>
      </c>
      <c r="B19" s="15" t="s">
        <v>32</v>
      </c>
      <c r="C19" s="136" t="s">
        <v>6</v>
      </c>
      <c r="D19" s="66">
        <v>53984.3</v>
      </c>
      <c r="E19" s="101">
        <v>29478.88</v>
      </c>
      <c r="F19" s="62">
        <f>30023.31+26722.96</f>
        <v>56746.270000000004</v>
      </c>
      <c r="G19" s="72">
        <f>55955.89+3021.66</f>
        <v>58977.55</v>
      </c>
      <c r="H19" s="153">
        <f t="shared" si="0"/>
        <v>1.0393202936510189</v>
      </c>
      <c r="J19" s="202"/>
      <c r="K19" s="187"/>
      <c r="L19" s="195"/>
    </row>
    <row r="20" spans="1:13" ht="21" customHeight="1" thickBot="1">
      <c r="A20" s="16" t="s">
        <v>33</v>
      </c>
      <c r="B20" s="17" t="s">
        <v>34</v>
      </c>
      <c r="C20" s="137" t="s">
        <v>6</v>
      </c>
      <c r="D20" s="54">
        <f>D21+D35</f>
        <v>223150.62</v>
      </c>
      <c r="E20" s="102">
        <f>E21+E35</f>
        <v>120597.91</v>
      </c>
      <c r="F20" s="54">
        <f>F21+F35</f>
        <v>381778.35000000003</v>
      </c>
      <c r="G20" s="54">
        <f>G21+G35</f>
        <v>480339.18</v>
      </c>
      <c r="H20" s="87">
        <f t="shared" si="0"/>
        <v>1.2581624390172987</v>
      </c>
      <c r="I20" s="191"/>
      <c r="J20" s="203"/>
      <c r="L20" s="195"/>
      <c r="M20" s="200"/>
    </row>
    <row r="21" spans="1:13" s="5" customFormat="1" ht="33" customHeight="1">
      <c r="A21" s="18" t="s">
        <v>35</v>
      </c>
      <c r="B21" s="19" t="s">
        <v>36</v>
      </c>
      <c r="C21" s="138" t="s">
        <v>6</v>
      </c>
      <c r="D21" s="57">
        <f>D22+SUM(D25:D34)</f>
        <v>132853.35</v>
      </c>
      <c r="E21" s="103">
        <f>E22+SUM(E25:E34)</f>
        <v>64489.560000000005</v>
      </c>
      <c r="F21" s="57">
        <f>F22+SUM(F25:F34)</f>
        <v>306385.2</v>
      </c>
      <c r="G21" s="57">
        <f>G22+SUM(G25:G34)</f>
        <v>384609.73</v>
      </c>
      <c r="H21" s="58">
        <f t="shared" si="0"/>
        <v>1.2553143232767117</v>
      </c>
      <c r="I21" s="191"/>
      <c r="J21" s="204"/>
      <c r="K21" s="187"/>
      <c r="L21" s="195"/>
      <c r="M21" s="200"/>
    </row>
    <row r="22" spans="1:13" s="5" customFormat="1" ht="21" customHeight="1">
      <c r="A22" s="20" t="s">
        <v>37</v>
      </c>
      <c r="B22" s="21" t="s">
        <v>38</v>
      </c>
      <c r="C22" s="134" t="s">
        <v>6</v>
      </c>
      <c r="D22" s="73">
        <f>D23+D24</f>
        <v>43866.49</v>
      </c>
      <c r="E22" s="104">
        <f>E23+E24</f>
        <v>24294.4</v>
      </c>
      <c r="F22" s="73">
        <f>F23+F24</f>
        <v>51772.53</v>
      </c>
      <c r="G22" s="74">
        <f>G23+G24</f>
        <v>64145.19</v>
      </c>
      <c r="H22" s="88">
        <f t="shared" si="0"/>
        <v>1.2389811739932355</v>
      </c>
      <c r="I22" s="191"/>
      <c r="J22" s="205"/>
      <c r="K22" s="187"/>
      <c r="L22" s="195"/>
      <c r="M22" s="200"/>
    </row>
    <row r="23" spans="1:13" s="23" customFormat="1" ht="30" customHeight="1">
      <c r="A23" s="22"/>
      <c r="B23" s="110" t="s">
        <v>39</v>
      </c>
      <c r="C23" s="139" t="s">
        <v>6</v>
      </c>
      <c r="D23" s="73">
        <v>40012.88</v>
      </c>
      <c r="E23" s="111">
        <v>22128.5</v>
      </c>
      <c r="F23" s="73">
        <f>23315.22+23439.11</f>
        <v>46754.33</v>
      </c>
      <c r="G23" s="74">
        <f>52955.46+4745.72</f>
        <v>57701.18</v>
      </c>
      <c r="H23" s="88">
        <f t="shared" si="0"/>
        <v>1.2341355335430964</v>
      </c>
      <c r="I23" s="200"/>
      <c r="J23" s="206"/>
      <c r="K23" s="187"/>
      <c r="L23" s="195"/>
      <c r="M23" s="200"/>
    </row>
    <row r="24" spans="1:13" s="23" customFormat="1" ht="21" customHeight="1">
      <c r="A24" s="22"/>
      <c r="B24" s="112" t="s">
        <v>22</v>
      </c>
      <c r="C24" s="139" t="s">
        <v>6</v>
      </c>
      <c r="D24" s="67">
        <v>3853.61</v>
      </c>
      <c r="E24" s="113">
        <v>2165.9</v>
      </c>
      <c r="F24" s="73">
        <f>2377.77+2640.43</f>
        <v>5018.2</v>
      </c>
      <c r="G24" s="68">
        <f>5908.32+535.69</f>
        <v>6444.01</v>
      </c>
      <c r="H24" s="86">
        <f t="shared" si="0"/>
        <v>1.2841277748993665</v>
      </c>
      <c r="I24" s="200"/>
      <c r="J24" s="207"/>
      <c r="K24" s="187"/>
      <c r="L24" s="195"/>
      <c r="M24" s="200"/>
    </row>
    <row r="25" spans="1:12" ht="21" customHeight="1">
      <c r="A25" s="24" t="s">
        <v>40</v>
      </c>
      <c r="B25" s="25" t="s">
        <v>41</v>
      </c>
      <c r="C25" s="140" t="s">
        <v>6</v>
      </c>
      <c r="D25" s="75">
        <v>48990</v>
      </c>
      <c r="E25" s="114">
        <v>24651.4</v>
      </c>
      <c r="F25" s="73">
        <f>55715.05+27184.07</f>
        <v>82899.12</v>
      </c>
      <c r="G25" s="76">
        <f>129084.15+30807.14</f>
        <v>159891.28999999998</v>
      </c>
      <c r="H25" s="89">
        <f t="shared" si="0"/>
        <v>1.9287453232314165</v>
      </c>
      <c r="I25" s="200"/>
      <c r="J25" s="208"/>
      <c r="L25" s="195"/>
    </row>
    <row r="26" spans="1:12" ht="21.75" customHeight="1">
      <c r="A26" s="26" t="s">
        <v>42</v>
      </c>
      <c r="B26" s="27" t="s">
        <v>96</v>
      </c>
      <c r="C26" s="134" t="s">
        <v>6</v>
      </c>
      <c r="D26" s="77">
        <v>315.1</v>
      </c>
      <c r="E26" s="115">
        <v>35.65</v>
      </c>
      <c r="F26" s="73">
        <f>53963.7+87321.24</f>
        <v>141284.94</v>
      </c>
      <c r="G26" s="78">
        <f>54762.25+79287.87</f>
        <v>134050.12</v>
      </c>
      <c r="H26" s="90">
        <f t="shared" si="0"/>
        <v>0.9487927021804305</v>
      </c>
      <c r="J26" s="209"/>
      <c r="L26" s="195"/>
    </row>
    <row r="27" spans="1:12" ht="21.75" customHeight="1">
      <c r="A27" s="148" t="s">
        <v>43</v>
      </c>
      <c r="B27" s="27" t="s">
        <v>97</v>
      </c>
      <c r="C27" s="134" t="s">
        <v>6</v>
      </c>
      <c r="D27" s="77">
        <v>5753.4</v>
      </c>
      <c r="E27" s="115">
        <v>2954.87</v>
      </c>
      <c r="F27" s="73">
        <v>26.48</v>
      </c>
      <c r="G27" s="78">
        <f>25.5</f>
        <v>25.5</v>
      </c>
      <c r="H27" s="90">
        <f t="shared" si="0"/>
        <v>0.9629909365558912</v>
      </c>
      <c r="J27" s="209"/>
      <c r="L27" s="195"/>
    </row>
    <row r="28" spans="1:12" ht="21.75" customHeight="1">
      <c r="A28" s="29" t="s">
        <v>44</v>
      </c>
      <c r="B28" s="28" t="s">
        <v>45</v>
      </c>
      <c r="C28" s="134" t="s">
        <v>6</v>
      </c>
      <c r="D28" s="73">
        <v>11876.8</v>
      </c>
      <c r="E28" s="111">
        <v>587.7</v>
      </c>
      <c r="F28" s="73">
        <f>7708.64</f>
        <v>7708.64</v>
      </c>
      <c r="G28" s="74">
        <f>9970.71</f>
        <v>9970.71</v>
      </c>
      <c r="H28" s="88">
        <f t="shared" si="0"/>
        <v>1.293446055335312</v>
      </c>
      <c r="J28" s="205"/>
      <c r="L28" s="195"/>
    </row>
    <row r="29" spans="1:12" ht="21" customHeight="1">
      <c r="A29" s="29" t="s">
        <v>46</v>
      </c>
      <c r="B29" s="28" t="s">
        <v>47</v>
      </c>
      <c r="C29" s="134" t="s">
        <v>6</v>
      </c>
      <c r="D29" s="73">
        <v>451.3</v>
      </c>
      <c r="E29" s="111">
        <v>263.2</v>
      </c>
      <c r="F29" s="73">
        <f>526.05</f>
        <v>526.05</v>
      </c>
      <c r="G29" s="74">
        <f>1009.12</f>
        <v>1009.12</v>
      </c>
      <c r="H29" s="88">
        <f t="shared" si="0"/>
        <v>1.9182967398536264</v>
      </c>
      <c r="J29" s="205"/>
      <c r="L29" s="195"/>
    </row>
    <row r="30" spans="1:12" ht="21" customHeight="1">
      <c r="A30" s="29" t="s">
        <v>48</v>
      </c>
      <c r="B30" s="28" t="s">
        <v>49</v>
      </c>
      <c r="C30" s="134" t="s">
        <v>6</v>
      </c>
      <c r="D30" s="73">
        <v>244.92</v>
      </c>
      <c r="E30" s="111">
        <v>94.1</v>
      </c>
      <c r="F30" s="73">
        <f>82.11+103.66</f>
        <v>185.76999999999998</v>
      </c>
      <c r="G30" s="74">
        <f>171.89+16.55</f>
        <v>188.44</v>
      </c>
      <c r="H30" s="88">
        <f t="shared" si="0"/>
        <v>1.0143726112935352</v>
      </c>
      <c r="J30" s="205"/>
      <c r="L30" s="195"/>
    </row>
    <row r="31" spans="1:12" ht="21" customHeight="1">
      <c r="A31" s="29" t="s">
        <v>50</v>
      </c>
      <c r="B31" s="28" t="s">
        <v>51</v>
      </c>
      <c r="C31" s="134" t="s">
        <v>6</v>
      </c>
      <c r="D31" s="73">
        <v>522.8</v>
      </c>
      <c r="E31" s="111">
        <v>150.5</v>
      </c>
      <c r="F31" s="73">
        <f>367.21+272.05</f>
        <v>639.26</v>
      </c>
      <c r="G31" s="74">
        <f>607.39+114.6</f>
        <v>721.99</v>
      </c>
      <c r="H31" s="88">
        <f t="shared" si="0"/>
        <v>1.1294152613959891</v>
      </c>
      <c r="J31" s="205"/>
      <c r="L31" s="195"/>
    </row>
    <row r="32" spans="1:12" ht="21" customHeight="1">
      <c r="A32" s="29" t="s">
        <v>52</v>
      </c>
      <c r="B32" s="28" t="s">
        <v>53</v>
      </c>
      <c r="C32" s="134" t="s">
        <v>6</v>
      </c>
      <c r="D32" s="73">
        <v>2836.94</v>
      </c>
      <c r="E32" s="111">
        <v>1485.8</v>
      </c>
      <c r="F32" s="73">
        <f>241.55+1178.73</f>
        <v>1420.28</v>
      </c>
      <c r="G32" s="74">
        <f>1533.21+123.18</f>
        <v>1656.39</v>
      </c>
      <c r="H32" s="88">
        <f t="shared" si="0"/>
        <v>1.1662418678007154</v>
      </c>
      <c r="J32" s="205"/>
      <c r="L32" s="195"/>
    </row>
    <row r="33" spans="1:12" ht="21" customHeight="1">
      <c r="A33" s="29" t="s">
        <v>54</v>
      </c>
      <c r="B33" s="25" t="s">
        <v>105</v>
      </c>
      <c r="C33" s="134" t="s">
        <v>6</v>
      </c>
      <c r="D33" s="75"/>
      <c r="E33" s="114"/>
      <c r="F33" s="75">
        <f>1547.51+2344.5</f>
        <v>3892.01</v>
      </c>
      <c r="G33" s="76">
        <f>5038.19+450.05</f>
        <v>5488.24</v>
      </c>
      <c r="H33" s="88">
        <f t="shared" si="0"/>
        <v>1.4101299842497834</v>
      </c>
      <c r="J33" s="208"/>
      <c r="L33" s="195"/>
    </row>
    <row r="34" spans="1:14" s="31" customFormat="1" ht="21" customHeight="1" thickBot="1">
      <c r="A34" s="29" t="s">
        <v>104</v>
      </c>
      <c r="B34" s="30" t="s">
        <v>55</v>
      </c>
      <c r="C34" s="140" t="s">
        <v>6</v>
      </c>
      <c r="D34" s="79">
        <v>17995.6</v>
      </c>
      <c r="E34" s="116">
        <v>9971.94</v>
      </c>
      <c r="F34" s="83">
        <v>16030.12</v>
      </c>
      <c r="G34" s="80">
        <f>(709.82+259.43+1261.4+87.11+195+4617.84)+(18.49+7.05+91.36+13.63+201.61)</f>
        <v>7462.740000000001</v>
      </c>
      <c r="H34" s="91">
        <f t="shared" si="0"/>
        <v>0.4655448617976659</v>
      </c>
      <c r="I34" s="200"/>
      <c r="J34" s="200"/>
      <c r="K34" s="200"/>
      <c r="L34" s="200"/>
      <c r="M34" s="200"/>
      <c r="N34" s="117"/>
    </row>
    <row r="35" spans="1:13" s="32" customFormat="1" ht="26.25" customHeight="1">
      <c r="A35" s="2">
        <v>8</v>
      </c>
      <c r="B35" s="3" t="s">
        <v>56</v>
      </c>
      <c r="C35" s="141" t="s">
        <v>6</v>
      </c>
      <c r="D35" s="55">
        <f>SUM(D36:D43)</f>
        <v>90297.26999999999</v>
      </c>
      <c r="E35" s="55">
        <f>SUM(E36:E43)</f>
        <v>56108.350000000006</v>
      </c>
      <c r="F35" s="55">
        <f>SUM(F36:F44)</f>
        <v>75393.15000000001</v>
      </c>
      <c r="G35" s="64">
        <f>SUM(G36:G44)</f>
        <v>95729.45000000001</v>
      </c>
      <c r="H35" s="92">
        <f t="shared" si="0"/>
        <v>1.2697367068493624</v>
      </c>
      <c r="I35" s="191"/>
      <c r="J35" s="210"/>
      <c r="K35" s="187"/>
      <c r="L35" s="195"/>
      <c r="M35" s="211"/>
    </row>
    <row r="36" spans="1:12" ht="21" customHeight="1">
      <c r="A36" s="33" t="s">
        <v>57</v>
      </c>
      <c r="B36" s="34" t="s">
        <v>108</v>
      </c>
      <c r="C36" s="134" t="s">
        <v>6</v>
      </c>
      <c r="D36" s="73">
        <v>75820.92</v>
      </c>
      <c r="E36" s="111">
        <v>47316</v>
      </c>
      <c r="F36" s="73">
        <f>29146.17+28509.84</f>
        <v>57656.009999999995</v>
      </c>
      <c r="G36" s="74">
        <f>56834.66+5056.22</f>
        <v>61890.880000000005</v>
      </c>
      <c r="H36" s="90">
        <f t="shared" si="0"/>
        <v>1.0734506255288914</v>
      </c>
      <c r="J36" s="205"/>
      <c r="L36" s="195"/>
    </row>
    <row r="37" spans="1:12" ht="21" customHeight="1">
      <c r="A37" s="33" t="s">
        <v>58</v>
      </c>
      <c r="B37" s="34" t="s">
        <v>109</v>
      </c>
      <c r="C37" s="134" t="s">
        <v>6</v>
      </c>
      <c r="D37" s="73">
        <v>7272.17</v>
      </c>
      <c r="E37" s="111">
        <v>4674.4</v>
      </c>
      <c r="F37" s="73">
        <f>2768.89+3211.65</f>
        <v>5980.54</v>
      </c>
      <c r="G37" s="74">
        <f>6336.92+561.44</f>
        <v>6898.360000000001</v>
      </c>
      <c r="H37" s="86">
        <f t="shared" si="0"/>
        <v>1.1534677470596302</v>
      </c>
      <c r="J37" s="205"/>
      <c r="L37" s="195"/>
    </row>
    <row r="38" spans="1:12" ht="21" customHeight="1">
      <c r="A38" s="33" t="s">
        <v>59</v>
      </c>
      <c r="B38" s="35" t="s">
        <v>110</v>
      </c>
      <c r="C38" s="134" t="s">
        <v>6</v>
      </c>
      <c r="D38" s="73">
        <v>1642.8</v>
      </c>
      <c r="E38" s="111">
        <v>1080.63</v>
      </c>
      <c r="F38" s="73">
        <v>630.36</v>
      </c>
      <c r="G38" s="74">
        <f>1026.07+87.71</f>
        <v>1113.78</v>
      </c>
      <c r="H38" s="90">
        <f t="shared" si="0"/>
        <v>1.766895107557586</v>
      </c>
      <c r="J38" s="205"/>
      <c r="L38" s="195"/>
    </row>
    <row r="39" spans="1:12" ht="21" customHeight="1">
      <c r="A39" s="33" t="s">
        <v>60</v>
      </c>
      <c r="B39" s="35" t="s">
        <v>47</v>
      </c>
      <c r="C39" s="134" t="s">
        <v>6</v>
      </c>
      <c r="D39" s="77">
        <v>22.6</v>
      </c>
      <c r="E39" s="106">
        <v>13.22</v>
      </c>
      <c r="F39" s="73">
        <v>10.38</v>
      </c>
      <c r="G39" s="78">
        <f>15.1</f>
        <v>15.1</v>
      </c>
      <c r="H39" s="90">
        <f t="shared" si="0"/>
        <v>1.4547206165703275</v>
      </c>
      <c r="J39" s="209"/>
      <c r="L39" s="195"/>
    </row>
    <row r="40" spans="1:12" ht="21" customHeight="1">
      <c r="A40" s="33" t="s">
        <v>61</v>
      </c>
      <c r="B40" s="34" t="s">
        <v>49</v>
      </c>
      <c r="C40" s="134" t="s">
        <v>6</v>
      </c>
      <c r="D40" s="73">
        <v>312.29</v>
      </c>
      <c r="E40" s="105">
        <v>138.05</v>
      </c>
      <c r="F40" s="73">
        <f>170.87+177.82</f>
        <v>348.69</v>
      </c>
      <c r="G40" s="74">
        <f>303.71+26.5</f>
        <v>330.21</v>
      </c>
      <c r="H40" s="90">
        <f t="shared" si="0"/>
        <v>0.9470016346898391</v>
      </c>
      <c r="J40" s="205"/>
      <c r="L40" s="195"/>
    </row>
    <row r="41" spans="1:12" ht="21" customHeight="1">
      <c r="A41" s="33" t="s">
        <v>62</v>
      </c>
      <c r="B41" s="34" t="s">
        <v>51</v>
      </c>
      <c r="C41" s="134" t="s">
        <v>6</v>
      </c>
      <c r="D41" s="73">
        <v>426.75</v>
      </c>
      <c r="E41" s="105">
        <v>140.85</v>
      </c>
      <c r="F41" s="73">
        <f>242.51+157.32</f>
        <v>399.83</v>
      </c>
      <c r="G41" s="74">
        <f>437.67+64.71</f>
        <v>502.38</v>
      </c>
      <c r="H41" s="90">
        <f t="shared" si="0"/>
        <v>1.2564840057024236</v>
      </c>
      <c r="J41" s="205"/>
      <c r="L41" s="195"/>
    </row>
    <row r="42" spans="1:12" ht="21" customHeight="1">
      <c r="A42" s="33" t="s">
        <v>63</v>
      </c>
      <c r="B42" s="34" t="s">
        <v>111</v>
      </c>
      <c r="C42" s="134" t="s">
        <v>6</v>
      </c>
      <c r="D42" s="73">
        <v>2273.84</v>
      </c>
      <c r="E42" s="105">
        <v>1291.55</v>
      </c>
      <c r="F42" s="73">
        <f>555.73+1109.32</f>
        <v>1665.05</v>
      </c>
      <c r="G42" s="74">
        <f>939.3+26.85</f>
        <v>966.15</v>
      </c>
      <c r="H42" s="90">
        <f t="shared" si="0"/>
        <v>0.5802528452599021</v>
      </c>
      <c r="J42" s="205"/>
      <c r="L42" s="195"/>
    </row>
    <row r="43" spans="1:12" ht="22.5" customHeight="1" thickBot="1">
      <c r="A43" s="154" t="s">
        <v>64</v>
      </c>
      <c r="B43" s="155" t="s">
        <v>112</v>
      </c>
      <c r="C43" s="140" t="s">
        <v>6</v>
      </c>
      <c r="D43" s="79">
        <v>2525.9</v>
      </c>
      <c r="E43" s="156">
        <v>1453.65</v>
      </c>
      <c r="F43" s="75">
        <f>(1843.38-277.5)+(6858.91-5523.71)</f>
        <v>2901.08</v>
      </c>
      <c r="G43" s="80">
        <v>5516.58</v>
      </c>
      <c r="H43" s="91">
        <f t="shared" si="0"/>
        <v>1.9015607980476237</v>
      </c>
      <c r="I43" s="212"/>
      <c r="J43" s="213"/>
      <c r="L43" s="195"/>
    </row>
    <row r="44" spans="1:12" ht="26.25" customHeight="1" thickBot="1">
      <c r="A44" s="154" t="s">
        <v>106</v>
      </c>
      <c r="B44" s="163" t="s">
        <v>107</v>
      </c>
      <c r="C44" s="140" t="s">
        <v>6</v>
      </c>
      <c r="D44" s="79"/>
      <c r="E44" s="156"/>
      <c r="F44" s="75">
        <f>277.5+5523.71</f>
        <v>5801.21</v>
      </c>
      <c r="G44" s="80">
        <f>1705.54+16790.47</f>
        <v>18496.010000000002</v>
      </c>
      <c r="H44" s="91">
        <f t="shared" si="0"/>
        <v>3.1883020955972983</v>
      </c>
      <c r="J44" s="214"/>
      <c r="L44" s="195"/>
    </row>
    <row r="45" spans="1:13" ht="24" customHeight="1" thickBot="1">
      <c r="A45" s="16" t="s">
        <v>65</v>
      </c>
      <c r="B45" s="36" t="s">
        <v>66</v>
      </c>
      <c r="C45" s="137" t="s">
        <v>6</v>
      </c>
      <c r="D45" s="54">
        <f>D4+D20</f>
        <v>1928799.3400000003</v>
      </c>
      <c r="E45" s="102">
        <f>E4+E20</f>
        <v>951918.86</v>
      </c>
      <c r="F45" s="54">
        <f>F4+F20</f>
        <v>1983675.1900000002</v>
      </c>
      <c r="G45" s="54">
        <f>G4+G20</f>
        <v>2033871.2899999998</v>
      </c>
      <c r="H45" s="87">
        <f t="shared" si="0"/>
        <v>1.0253045963638834</v>
      </c>
      <c r="J45" s="215"/>
      <c r="L45" s="195"/>
      <c r="M45" s="216"/>
    </row>
    <row r="46" spans="1:13" s="32" customFormat="1" ht="21" customHeight="1" thickBot="1">
      <c r="A46" s="16" t="s">
        <v>67</v>
      </c>
      <c r="B46" s="17" t="s">
        <v>98</v>
      </c>
      <c r="C46" s="137" t="s">
        <v>6</v>
      </c>
      <c r="D46" s="54">
        <f>(D47-D45)-(D47-D45)*0.2</f>
        <v>216820.60799999983</v>
      </c>
      <c r="E46" s="102">
        <f>(E47-E45)-(E47-E45)*0.2</f>
        <v>374906.272</v>
      </c>
      <c r="F46" s="165">
        <f>135657.61+(F47-F45)</f>
        <v>103397.08499999985</v>
      </c>
      <c r="G46" s="165">
        <f>G47-G45</f>
        <v>-1837.7699999997858</v>
      </c>
      <c r="H46" s="166">
        <f>H47-H45</f>
        <v>0.016008434867231136</v>
      </c>
      <c r="J46" s="217"/>
      <c r="K46" s="187"/>
      <c r="L46" s="195"/>
      <c r="M46" s="211"/>
    </row>
    <row r="47" spans="1:13" ht="21" customHeight="1" thickBot="1">
      <c r="A47" s="16" t="s">
        <v>68</v>
      </c>
      <c r="B47" s="17" t="s">
        <v>69</v>
      </c>
      <c r="C47" s="137" t="s">
        <v>6</v>
      </c>
      <c r="D47" s="54">
        <v>2199825.1</v>
      </c>
      <c r="E47" s="107">
        <v>1420551.7</v>
      </c>
      <c r="F47" s="54">
        <f>((22554.3*90.46)+(21031.7*88.56))/2</f>
        <v>1951414.665</v>
      </c>
      <c r="G47" s="63">
        <f>1865565.43+166468.09</f>
        <v>2032033.52</v>
      </c>
      <c r="H47" s="87">
        <f t="shared" si="0"/>
        <v>1.0413130312311145</v>
      </c>
      <c r="I47" s="212"/>
      <c r="J47" s="203"/>
      <c r="L47" s="195"/>
      <c r="M47" s="200"/>
    </row>
    <row r="48" spans="1:12" s="32" customFormat="1" ht="21" customHeight="1">
      <c r="A48" s="2" t="s">
        <v>70</v>
      </c>
      <c r="B48" s="37" t="s">
        <v>71</v>
      </c>
      <c r="C48" s="141" t="s">
        <v>72</v>
      </c>
      <c r="D48" s="56">
        <f>SUM(D49:D52)</f>
        <v>22895.8</v>
      </c>
      <c r="E48" s="108">
        <f>SUM(E49:E52)</f>
        <v>14855.199999999999</v>
      </c>
      <c r="F48" s="56">
        <f>SUM(F49:F52)</f>
        <v>22554.3</v>
      </c>
      <c r="G48" s="65">
        <f>G49+G50+G52</f>
        <v>20888.85</v>
      </c>
      <c r="H48" s="93">
        <f t="shared" si="0"/>
        <v>0.926158204865591</v>
      </c>
      <c r="I48" s="200"/>
      <c r="J48" s="218"/>
      <c r="K48" s="187"/>
      <c r="L48" s="195"/>
    </row>
    <row r="49" spans="1:12" s="32" customFormat="1" ht="18.75" customHeight="1">
      <c r="A49" s="38"/>
      <c r="B49" s="39" t="s">
        <v>73</v>
      </c>
      <c r="C49" s="142" t="s">
        <v>74</v>
      </c>
      <c r="D49" s="70">
        <v>17219.1</v>
      </c>
      <c r="E49" s="99">
        <v>11225.9</v>
      </c>
      <c r="F49" s="172">
        <v>16960.45</v>
      </c>
      <c r="G49" s="69">
        <f>14857.92+1309.1</f>
        <v>16167.02</v>
      </c>
      <c r="H49" s="173">
        <f>(G49+G50)/F49</f>
        <v>0.9574716472735098</v>
      </c>
      <c r="J49" s="199"/>
      <c r="K49" s="187"/>
      <c r="L49" s="195"/>
    </row>
    <row r="50" spans="1:12" s="32" customFormat="1" ht="41.25" customHeight="1">
      <c r="A50" s="38"/>
      <c r="B50" s="40" t="s">
        <v>75</v>
      </c>
      <c r="C50" s="142" t="s">
        <v>74</v>
      </c>
      <c r="D50" s="70">
        <v>91.4</v>
      </c>
      <c r="E50" s="99">
        <v>53.4</v>
      </c>
      <c r="F50" s="172"/>
      <c r="G50" s="69">
        <f>65.98+6.15</f>
        <v>72.13000000000001</v>
      </c>
      <c r="H50" s="173"/>
      <c r="J50" s="199"/>
      <c r="K50" s="187"/>
      <c r="L50" s="195"/>
    </row>
    <row r="51" spans="1:12" s="32" customFormat="1" ht="27" customHeight="1">
      <c r="A51" s="38"/>
      <c r="B51" s="164" t="s">
        <v>103</v>
      </c>
      <c r="C51" s="142" t="s">
        <v>74</v>
      </c>
      <c r="D51" s="70"/>
      <c r="E51" s="99"/>
      <c r="F51" s="70">
        <v>1197.71</v>
      </c>
      <c r="G51" s="69">
        <f>1108.49+102.84</f>
        <v>1211.33</v>
      </c>
      <c r="H51" s="85">
        <f>G51/F51</f>
        <v>1.0113717009960674</v>
      </c>
      <c r="J51" s="199"/>
      <c r="K51" s="187"/>
      <c r="L51" s="195"/>
    </row>
    <row r="52" spans="1:12" s="32" customFormat="1" ht="21" customHeight="1" thickBot="1">
      <c r="A52" s="41"/>
      <c r="B52" s="42" t="s">
        <v>76</v>
      </c>
      <c r="C52" s="143" t="s">
        <v>74</v>
      </c>
      <c r="D52" s="81">
        <v>5585.3</v>
      </c>
      <c r="E52" s="109">
        <f>2720+855.9</f>
        <v>3575.9</v>
      </c>
      <c r="F52" s="81">
        <v>4396.14</v>
      </c>
      <c r="G52" s="82">
        <f>4276.85+372.85</f>
        <v>4649.700000000001</v>
      </c>
      <c r="H52" s="94">
        <f t="shared" si="0"/>
        <v>1.057677871951303</v>
      </c>
      <c r="J52" s="197"/>
      <c r="K52" s="187"/>
      <c r="L52" s="195"/>
    </row>
    <row r="53" spans="1:12" ht="21" customHeight="1" thickBot="1">
      <c r="A53" s="16" t="s">
        <v>77</v>
      </c>
      <c r="B53" s="17" t="s">
        <v>88</v>
      </c>
      <c r="C53" s="137" t="s">
        <v>78</v>
      </c>
      <c r="D53" s="54">
        <f>D47/D48</f>
        <v>96.07985307348947</v>
      </c>
      <c r="E53" s="162">
        <f>E47/E48</f>
        <v>95.62656174268943</v>
      </c>
      <c r="F53" s="162">
        <f>F47/F48</f>
        <v>86.52073728734653</v>
      </c>
      <c r="G53" s="162">
        <f>G47/G48</f>
        <v>97.27838152890179</v>
      </c>
      <c r="H53" s="167">
        <f t="shared" si="0"/>
        <v>1.1243360213844193</v>
      </c>
      <c r="J53" s="219"/>
      <c r="L53" s="195"/>
    </row>
    <row r="54" spans="1:8" ht="26.25" customHeight="1" hidden="1">
      <c r="A54" s="157"/>
      <c r="B54" s="158" t="s">
        <v>73</v>
      </c>
      <c r="C54" s="159" t="s">
        <v>78</v>
      </c>
      <c r="D54" s="160" t="s">
        <v>85</v>
      </c>
      <c r="E54" s="160" t="s">
        <v>85</v>
      </c>
      <c r="F54" s="168" t="s">
        <v>99</v>
      </c>
      <c r="G54" s="169"/>
      <c r="H54" s="161"/>
    </row>
    <row r="55" spans="1:8" ht="26.25" customHeight="1" hidden="1">
      <c r="A55" s="38"/>
      <c r="B55" s="121" t="s">
        <v>79</v>
      </c>
      <c r="C55" s="134" t="s">
        <v>78</v>
      </c>
      <c r="D55" s="118" t="s">
        <v>86</v>
      </c>
      <c r="E55" s="118" t="s">
        <v>81</v>
      </c>
      <c r="F55" s="170" t="s">
        <v>100</v>
      </c>
      <c r="G55" s="171"/>
      <c r="H55" s="120"/>
    </row>
    <row r="56" spans="1:8" ht="26.25" customHeight="1" hidden="1">
      <c r="A56" s="38"/>
      <c r="B56" s="151" t="s">
        <v>103</v>
      </c>
      <c r="C56" s="134" t="s">
        <v>78</v>
      </c>
      <c r="D56" s="149"/>
      <c r="E56" s="149"/>
      <c r="F56" s="170" t="s">
        <v>101</v>
      </c>
      <c r="G56" s="171"/>
      <c r="H56" s="150"/>
    </row>
    <row r="57" spans="1:8" ht="26.25" customHeight="1" hidden="1" thickBot="1">
      <c r="A57" s="41"/>
      <c r="B57" s="42" t="s">
        <v>76</v>
      </c>
      <c r="C57" s="144" t="s">
        <v>78</v>
      </c>
      <c r="D57" s="119" t="s">
        <v>87</v>
      </c>
      <c r="E57" s="119" t="s">
        <v>82</v>
      </c>
      <c r="F57" s="170" t="s">
        <v>102</v>
      </c>
      <c r="G57" s="171"/>
      <c r="H57" s="122"/>
    </row>
    <row r="58" spans="1:8" ht="21" customHeight="1" hidden="1">
      <c r="A58" s="123"/>
      <c r="B58" s="124"/>
      <c r="C58" s="145"/>
      <c r="D58" s="125"/>
      <c r="E58" s="126"/>
      <c r="F58" s="126"/>
      <c r="G58" s="126"/>
      <c r="H58" s="126"/>
    </row>
    <row r="59" spans="4:7" ht="21" customHeight="1">
      <c r="D59" s="44"/>
      <c r="E59" s="44"/>
      <c r="F59" s="44"/>
      <c r="G59" s="44"/>
    </row>
    <row r="60" spans="1:13" s="50" customFormat="1" ht="21" customHeight="1">
      <c r="A60" s="45"/>
      <c r="B60" s="46"/>
      <c r="C60" s="147"/>
      <c r="D60" s="47"/>
      <c r="E60" s="47"/>
      <c r="F60" s="48"/>
      <c r="G60" s="49"/>
      <c r="I60" s="220"/>
      <c r="J60" s="220"/>
      <c r="K60" s="220"/>
      <c r="L60" s="220"/>
      <c r="M60" s="220"/>
    </row>
  </sheetData>
  <sheetProtection/>
  <mergeCells count="14">
    <mergeCell ref="F2:F3"/>
    <mergeCell ref="F56:G56"/>
    <mergeCell ref="G2:G3"/>
    <mergeCell ref="H2:H3"/>
    <mergeCell ref="F54:G54"/>
    <mergeCell ref="F55:G55"/>
    <mergeCell ref="F49:F50"/>
    <mergeCell ref="H49:H50"/>
    <mergeCell ref="F57:G57"/>
    <mergeCell ref="A1:H1"/>
    <mergeCell ref="A2:A3"/>
    <mergeCell ref="B2:B3"/>
    <mergeCell ref="C2:C3"/>
    <mergeCell ref="D2:E2"/>
  </mergeCells>
  <printOptions/>
  <pageMargins left="0.8267716535433072" right="0.3937007874015748" top="0.3937007874015748" bottom="0.3937007874015748" header="0.31496062992125984" footer="0.31496062992125984"/>
  <pageSetup horizontalDpi="600" verticalDpi="600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Папа и Мама</dc:creator>
  <cp:keywords/>
  <dc:description/>
  <cp:lastModifiedBy>PEO1</cp:lastModifiedBy>
  <cp:lastPrinted>2020-12-14T08:57:10Z</cp:lastPrinted>
  <dcterms:created xsi:type="dcterms:W3CDTF">2016-06-16T06:31:36Z</dcterms:created>
  <dcterms:modified xsi:type="dcterms:W3CDTF">2022-12-23T10:05:13Z</dcterms:modified>
  <cp:category/>
  <cp:version/>
  <cp:contentType/>
  <cp:contentStatus/>
</cp:coreProperties>
</file>