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06" windowWidth="9495" windowHeight="11970" activeTab="0"/>
  </bookViews>
  <sheets>
    <sheet name="водоотвод -рус.яз." sheetId="1" r:id="rId1"/>
  </sheets>
  <definedNames>
    <definedName name="_xlnm.Print_Titles" localSheetId="0">'водоотвод -рус.яз.'!$3:$4</definedName>
    <definedName name="_xlnm.Print_Area" localSheetId="0">'водоотвод -рус.яз.'!$A$1:$F$50</definedName>
  </definedNames>
  <calcPr fullCalcOnLoad="1"/>
</workbook>
</file>

<file path=xl/comments1.xml><?xml version="1.0" encoding="utf-8"?>
<comments xmlns="http://schemas.openxmlformats.org/spreadsheetml/2006/main">
  <authors>
    <author>PEO2</author>
  </authors>
  <commentList>
    <comment ref="B73" authorId="0">
      <text>
        <r>
          <rPr>
            <b/>
            <sz val="9"/>
            <rFont val="Tahoma"/>
            <family val="2"/>
          </rPr>
          <t>PEO2:</t>
        </r>
        <r>
          <rPr>
            <sz val="9"/>
            <rFont val="Tahoma"/>
            <family val="2"/>
          </rPr>
          <t xml:space="preserve">
чифра считается в обратном порядке от утвержденной в ТС</t>
        </r>
      </text>
    </comment>
  </commentList>
</comments>
</file>

<file path=xl/sharedStrings.xml><?xml version="1.0" encoding="utf-8"?>
<sst xmlns="http://schemas.openxmlformats.org/spreadsheetml/2006/main" count="182" uniqueCount="116">
  <si>
    <t>№ п/п</t>
  </si>
  <si>
    <t>Наименование показателей</t>
  </si>
  <si>
    <t>единицы измерения</t>
  </si>
  <si>
    <t>% выпол-нения</t>
  </si>
  <si>
    <t>I.</t>
  </si>
  <si>
    <t>Затраты на производство товаров и  предоставление услуг, всего</t>
  </si>
  <si>
    <t>тыс.тенге</t>
  </si>
  <si>
    <t>1.</t>
  </si>
  <si>
    <t>Материальные затраты, всего</t>
  </si>
  <si>
    <t>1.1.</t>
  </si>
  <si>
    <t xml:space="preserve">  сырьё и материалы</t>
  </si>
  <si>
    <t>1.2.</t>
  </si>
  <si>
    <t xml:space="preserve">  ГСМ</t>
  </si>
  <si>
    <t>1.3.</t>
  </si>
  <si>
    <t xml:space="preserve">  электроэнергия</t>
  </si>
  <si>
    <t>1.4.</t>
  </si>
  <si>
    <t xml:space="preserve">  теплоэнергия</t>
  </si>
  <si>
    <t>2.</t>
  </si>
  <si>
    <t>Расходы на оплату труда, всего</t>
  </si>
  <si>
    <t>2.1.</t>
  </si>
  <si>
    <t xml:space="preserve">  заработная плата производственного персонала</t>
  </si>
  <si>
    <t>2.2.</t>
  </si>
  <si>
    <t xml:space="preserve">  отчисления от заработной платы</t>
  </si>
  <si>
    <t>3.</t>
  </si>
  <si>
    <t>3.1.</t>
  </si>
  <si>
    <t>3.2.</t>
  </si>
  <si>
    <t>4.</t>
  </si>
  <si>
    <t>Текущий и капитальный ремонт и другие ремонтно-восстановительные работы, не приводящие к увеличению стоимости основных фондов</t>
  </si>
  <si>
    <t>5.</t>
  </si>
  <si>
    <t xml:space="preserve">Оплата работ и услуг производственного характера,выполняемых сторонними организациями </t>
  </si>
  <si>
    <t>6.</t>
  </si>
  <si>
    <t>Прочие затраты</t>
  </si>
  <si>
    <t>II.</t>
  </si>
  <si>
    <t>Расходы  периода   всего,  в т.ч.</t>
  </si>
  <si>
    <t>7.</t>
  </si>
  <si>
    <t>Общие и административные расходы, всего</t>
  </si>
  <si>
    <t>7.1.</t>
  </si>
  <si>
    <t>Расходы на оплату труда, всего, в т.ч.</t>
  </si>
  <si>
    <t xml:space="preserve">  заработная плата административного персонала</t>
  </si>
  <si>
    <t>7.2.</t>
  </si>
  <si>
    <t>Налоги</t>
  </si>
  <si>
    <t>7.3.</t>
  </si>
  <si>
    <t>7.4.</t>
  </si>
  <si>
    <t>7.5.</t>
  </si>
  <si>
    <t>Износ основных средств</t>
  </si>
  <si>
    <t>7.6.</t>
  </si>
  <si>
    <t>Амортизация нематериальных активов</t>
  </si>
  <si>
    <t>7.7.</t>
  </si>
  <si>
    <t>Электроэнергия</t>
  </si>
  <si>
    <t>7.8.</t>
  </si>
  <si>
    <t>Теплоэнергия</t>
  </si>
  <si>
    <t>7.9.</t>
  </si>
  <si>
    <t>7.10.</t>
  </si>
  <si>
    <t xml:space="preserve">Прочие административные расходы </t>
  </si>
  <si>
    <t>Расходы на содержание службы сбыта</t>
  </si>
  <si>
    <t>8.1.</t>
  </si>
  <si>
    <t xml:space="preserve">   Заработная плата     </t>
  </si>
  <si>
    <t>8.2.</t>
  </si>
  <si>
    <t xml:space="preserve">    Отчисления от заработной платы</t>
  </si>
  <si>
    <t>8.3.</t>
  </si>
  <si>
    <t xml:space="preserve">   Амортизация основных средств</t>
  </si>
  <si>
    <t>8.4.</t>
  </si>
  <si>
    <t xml:space="preserve">   Амортизация нематериальных активов</t>
  </si>
  <si>
    <t>8.5.</t>
  </si>
  <si>
    <t xml:space="preserve">   Электроэнергия</t>
  </si>
  <si>
    <t>8.6.</t>
  </si>
  <si>
    <t xml:space="preserve">   Теплоэнергия</t>
  </si>
  <si>
    <t>8.7.</t>
  </si>
  <si>
    <t xml:space="preserve">   Материалы  на содержание </t>
  </si>
  <si>
    <t>8.8.</t>
  </si>
  <si>
    <t xml:space="preserve">   Прочие  затраты  на содержание службы сбыта</t>
  </si>
  <si>
    <t>III.</t>
  </si>
  <si>
    <t>Всего затрат на предоставление услуг</t>
  </si>
  <si>
    <t>IV.</t>
  </si>
  <si>
    <t>V.</t>
  </si>
  <si>
    <t>Всего доходов</t>
  </si>
  <si>
    <t>VI.</t>
  </si>
  <si>
    <t xml:space="preserve">Объемы оказываемых услуг </t>
  </si>
  <si>
    <t>тыс.м³</t>
  </si>
  <si>
    <t>VII.</t>
  </si>
  <si>
    <t>тенге/м³</t>
  </si>
  <si>
    <t>Справочно :</t>
  </si>
  <si>
    <t>Среднесписочная численность персонала</t>
  </si>
  <si>
    <t>человек</t>
  </si>
  <si>
    <t>в том числе :</t>
  </si>
  <si>
    <t>производственного  персонала</t>
  </si>
  <si>
    <t>административного  персонала</t>
  </si>
  <si>
    <t>водители служебных автомобилей</t>
  </si>
  <si>
    <t>персонала службы реализации услуг</t>
  </si>
  <si>
    <t>Среднемесячная заработная плата, всего,</t>
  </si>
  <si>
    <t>тенге</t>
  </si>
  <si>
    <t>План на 1 полугодие 2023г.</t>
  </si>
  <si>
    <t>Факт за 1 полугодие 2023г.</t>
  </si>
  <si>
    <t>Амортизация, ВСЕГО:</t>
  </si>
  <si>
    <t>на выполнение инвестиционной программы</t>
  </si>
  <si>
    <t>на возврат основного долга по кредиту ЕБРР</t>
  </si>
  <si>
    <t>3.3.</t>
  </si>
  <si>
    <t>на возврат основного долга по кредиту Нурлы Жол</t>
  </si>
  <si>
    <t>сан очистка</t>
  </si>
  <si>
    <t>Вознаграждения по кредитам ЕБРР, Нурлы Жол</t>
  </si>
  <si>
    <t>Материалы на содержание</t>
  </si>
  <si>
    <t>Прибыль</t>
  </si>
  <si>
    <t>Сумма необоснованно полученного дохода, установленная по итогам анализа исполнения тарифной сметы и инвестиционной программы</t>
  </si>
  <si>
    <t>Сумма необоснованно полученного дохода, установленная по итогам анализа исполнения тарифной сметы за 2021 год</t>
  </si>
  <si>
    <t>Всего доходов с учетом суммы необоснованно полученного дохода в том числе:</t>
  </si>
  <si>
    <t>физические лица, организации, занимающиеся производством тепловой энергии, в пределах объемов потребления воды на собственные нужды в процессе производства тепловой энергии и объемов подпитки при предоставлении услуг горячего водоснабжения (при открытой системе горячего водоснабжения), организации, занимающиеся передачей и распределением тепловой энергии, в пределах объемов утвержденных нормативных технических потерь и организации, предоставляющие регулируемые услуги в сфере водоснабжения и (или) водоотведения</t>
  </si>
  <si>
    <t>организации, содержащиеся за счет бюджетных средств</t>
  </si>
  <si>
    <t>прочие потребители- юридические лица, не входящие в состав первой и третьей групп</t>
  </si>
  <si>
    <t>Нормативные технические потери</t>
  </si>
  <si>
    <t>%</t>
  </si>
  <si>
    <t xml:space="preserve">   -"- в натуральных показателях</t>
  </si>
  <si>
    <t xml:space="preserve"> Тариф </t>
  </si>
  <si>
    <t>VIII.</t>
  </si>
  <si>
    <t xml:space="preserve">утвержден  с 1 августа 2022г. (пр.158-ОД от 25.07.2022г)                      </t>
  </si>
  <si>
    <t xml:space="preserve"> прочие потребители- юридические лица, не входящие в состав первой и третьей групп</t>
  </si>
  <si>
    <t xml:space="preserve">  Информация о ходе исполнения тарифной сметы на услуги  водоотведения, оказываемые ГКП на праве хозяйственного ведения "Өскемен Водоканал" акимата г.Усть-Каменогорск  за 1 полугодие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</si>
</sst>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.000%"/>
    <numFmt numFmtId="176" formatCode="[=0]&quot;&quot;;General"/>
    <numFmt numFmtId="177" formatCode="#,##0.000"/>
    <numFmt numFmtId="178" formatCode="0.000"/>
    <numFmt numFmtId="179" formatCode="#,##0.00_р_."/>
    <numFmt numFmtId="180" formatCode="[$-FC19]d\ mmmm\ yyyy\ &quot;г.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ahoma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72" fontId="19" fillId="0" borderId="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2" fontId="19" fillId="0" borderId="0" xfId="0" applyNumberFormat="1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2" fontId="19" fillId="0" borderId="10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 wrapText="1"/>
    </xf>
    <xf numFmtId="173" fontId="20" fillId="0" borderId="14" xfId="56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172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6" fontId="19" fillId="0" borderId="16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173" fontId="19" fillId="0" borderId="14" xfId="56" applyNumberFormat="1" applyFont="1" applyFill="1" applyBorder="1" applyAlignment="1">
      <alignment horizontal="center" vertical="center"/>
    </xf>
    <xf numFmtId="16" fontId="19" fillId="0" borderId="17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 wrapText="1"/>
    </xf>
    <xf numFmtId="0" fontId="19" fillId="24" borderId="13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center" vertical="center"/>
    </xf>
    <xf numFmtId="173" fontId="19" fillId="24" borderId="14" xfId="56" applyNumberFormat="1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vertical="center"/>
    </xf>
    <xf numFmtId="16" fontId="21" fillId="0" borderId="16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24" borderId="13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14" fontId="19" fillId="0" borderId="18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 wrapText="1"/>
    </xf>
    <xf numFmtId="173" fontId="19" fillId="0" borderId="14" xfId="56" applyNumberFormat="1" applyFont="1" applyFill="1" applyBorder="1" applyAlignment="1">
      <alignment horizontal="center" vertical="center" wrapText="1"/>
    </xf>
    <xf numFmtId="172" fontId="19" fillId="0" borderId="0" xfId="0" applyNumberFormat="1" applyFont="1" applyFill="1" applyBorder="1" applyAlignment="1">
      <alignment horizontal="center" vertical="center" wrapText="1"/>
    </xf>
    <xf numFmtId="14" fontId="22" fillId="0" borderId="18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horizontal="center" vertical="center"/>
    </xf>
    <xf numFmtId="173" fontId="22" fillId="0" borderId="14" xfId="56" applyNumberFormat="1" applyFont="1" applyFill="1" applyBorder="1" applyAlignment="1">
      <alignment horizontal="center" vertical="center" wrapText="1"/>
    </xf>
    <xf numFmtId="172" fontId="22" fillId="0" borderId="0" xfId="0" applyNumberFormat="1" applyFont="1" applyFill="1" applyBorder="1" applyAlignment="1">
      <alignment horizontal="center" vertical="center" wrapText="1"/>
    </xf>
    <xf numFmtId="172" fontId="22" fillId="0" borderId="0" xfId="0" applyNumberFormat="1" applyFont="1" applyFill="1" applyBorder="1" applyAlignment="1">
      <alignment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24" borderId="15" xfId="0" applyNumberFormat="1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center" vertical="center" wrapText="1"/>
    </xf>
    <xf numFmtId="173" fontId="19" fillId="24" borderId="14" xfId="56" applyNumberFormat="1" applyFont="1" applyFill="1" applyBorder="1" applyAlignment="1">
      <alignment horizontal="center" vertical="center" wrapText="1"/>
    </xf>
    <xf numFmtId="173" fontId="20" fillId="0" borderId="14" xfId="56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4" fontId="19" fillId="24" borderId="18" xfId="0" applyNumberFormat="1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left" vertical="center"/>
    </xf>
    <xf numFmtId="174" fontId="19" fillId="24" borderId="22" xfId="0" applyNumberFormat="1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/>
    </xf>
    <xf numFmtId="4" fontId="20" fillId="24" borderId="10" xfId="0" applyNumberFormat="1" applyFont="1" applyFill="1" applyBorder="1" applyAlignment="1">
      <alignment horizontal="center" vertical="center"/>
    </xf>
    <xf numFmtId="173" fontId="20" fillId="24" borderId="14" xfId="56" applyNumberFormat="1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24" borderId="12" xfId="0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top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horizontal="center" vertical="top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center" vertical="center" wrapText="1"/>
    </xf>
    <xf numFmtId="173" fontId="20" fillId="0" borderId="10" xfId="56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73" fontId="19" fillId="0" borderId="10" xfId="56" applyNumberFormat="1" applyFont="1" applyFill="1" applyBorder="1" applyAlignment="1">
      <alignment horizontal="center" vertical="center"/>
    </xf>
    <xf numFmtId="16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172" fontId="28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pane ySplit="1" topLeftCell="A50" activePane="bottomLeft" state="frozen"/>
      <selection pane="topLeft" activeCell="A1" sqref="A1"/>
      <selection pane="bottomLeft" activeCell="D57" sqref="D57"/>
    </sheetView>
  </sheetViews>
  <sheetFormatPr defaultColWidth="9.00390625" defaultRowHeight="21" customHeight="1"/>
  <cols>
    <col min="1" max="1" width="4.625" style="15" customWidth="1"/>
    <col min="2" max="2" width="41.875" style="1" customWidth="1"/>
    <col min="3" max="3" width="10.00390625" style="15" customWidth="1"/>
    <col min="4" max="5" width="12.25390625" style="1" customWidth="1"/>
    <col min="6" max="6" width="7.625" style="1" customWidth="1"/>
    <col min="7" max="7" width="11.375" style="1" customWidth="1"/>
    <col min="8" max="8" width="10.625" style="30" customWidth="1"/>
    <col min="9" max="9" width="9.125" style="30" customWidth="1"/>
    <col min="10" max="10" width="5.375" style="30" customWidth="1"/>
    <col min="11" max="11" width="10.75390625" style="30" bestFit="1" customWidth="1"/>
    <col min="12" max="16384" width="9.125" style="1" customWidth="1"/>
  </cols>
  <sheetData>
    <row r="1" spans="1:6" ht="45.75" customHeight="1">
      <c r="A1" s="119" t="s">
        <v>115</v>
      </c>
      <c r="B1" s="119"/>
      <c r="C1" s="119"/>
      <c r="D1" s="119"/>
      <c r="E1" s="119"/>
      <c r="F1" s="119"/>
    </row>
    <row r="2" spans="1:6" ht="21" customHeight="1" thickBot="1">
      <c r="A2" s="26"/>
      <c r="B2" s="30"/>
      <c r="C2" s="26"/>
      <c r="D2" s="30"/>
      <c r="E2" s="30"/>
      <c r="F2" s="30"/>
    </row>
    <row r="3" spans="1:9" ht="16.5" customHeight="1">
      <c r="A3" s="120" t="s">
        <v>0</v>
      </c>
      <c r="B3" s="122" t="s">
        <v>1</v>
      </c>
      <c r="C3" s="124" t="s">
        <v>2</v>
      </c>
      <c r="D3" s="126" t="s">
        <v>91</v>
      </c>
      <c r="E3" s="126" t="s">
        <v>92</v>
      </c>
      <c r="F3" s="128" t="s">
        <v>3</v>
      </c>
      <c r="H3" s="118"/>
      <c r="I3" s="31"/>
    </row>
    <row r="4" spans="1:8" ht="24" customHeight="1" thickBot="1">
      <c r="A4" s="121"/>
      <c r="B4" s="123"/>
      <c r="C4" s="125"/>
      <c r="D4" s="127"/>
      <c r="E4" s="127"/>
      <c r="F4" s="129"/>
      <c r="H4" s="118"/>
    </row>
    <row r="5" spans="1:10" ht="30" customHeight="1">
      <c r="A5" s="32" t="s">
        <v>4</v>
      </c>
      <c r="B5" s="33" t="s">
        <v>5</v>
      </c>
      <c r="C5" s="27" t="s">
        <v>6</v>
      </c>
      <c r="D5" s="4">
        <f>D6+D11+D14+D18+D19+D20</f>
        <v>950061.63</v>
      </c>
      <c r="E5" s="4">
        <f>E6+E11+E14+E18+E19+E20</f>
        <v>812746.2000000001</v>
      </c>
      <c r="F5" s="34">
        <f>E5/D5</f>
        <v>0.8554668185052374</v>
      </c>
      <c r="H5" s="14"/>
      <c r="J5" s="35"/>
    </row>
    <row r="6" spans="1:11" s="2" customFormat="1" ht="17.25" customHeight="1">
      <c r="A6" s="36" t="s">
        <v>7</v>
      </c>
      <c r="B6" s="37" t="s">
        <v>8</v>
      </c>
      <c r="C6" s="28" t="s">
        <v>6</v>
      </c>
      <c r="D6" s="4">
        <f>D7+D8+D9+D10</f>
        <v>210260.17</v>
      </c>
      <c r="E6" s="4">
        <f>SUM(E7:E9)+E10</f>
        <v>254901.74000000002</v>
      </c>
      <c r="F6" s="34">
        <f aca="true" t="shared" si="0" ref="F6:F57">E6/D6</f>
        <v>1.2123158656249542</v>
      </c>
      <c r="H6" s="38"/>
      <c r="I6" s="30"/>
      <c r="J6" s="35"/>
      <c r="K6" s="39"/>
    </row>
    <row r="7" spans="1:10" ht="17.25" customHeight="1">
      <c r="A7" s="40" t="s">
        <v>9</v>
      </c>
      <c r="B7" s="41" t="s">
        <v>10</v>
      </c>
      <c r="C7" s="11" t="s">
        <v>6</v>
      </c>
      <c r="D7" s="5">
        <f>25067.09/2</f>
        <v>12533.545</v>
      </c>
      <c r="E7" s="5">
        <v>15612.19</v>
      </c>
      <c r="F7" s="42">
        <f>E7/D7</f>
        <v>1.2456324208354461</v>
      </c>
      <c r="H7" s="3"/>
      <c r="J7" s="35"/>
    </row>
    <row r="8" spans="1:10" ht="17.25" customHeight="1">
      <c r="A8" s="40" t="s">
        <v>11</v>
      </c>
      <c r="B8" s="41" t="s">
        <v>12</v>
      </c>
      <c r="C8" s="11" t="s">
        <v>6</v>
      </c>
      <c r="D8" s="5">
        <f>83815.52/2</f>
        <v>41907.76</v>
      </c>
      <c r="E8" s="5">
        <v>49690.33</v>
      </c>
      <c r="F8" s="42">
        <f>E8/D8</f>
        <v>1.1857071339532343</v>
      </c>
      <c r="H8" s="3"/>
      <c r="J8" s="35"/>
    </row>
    <row r="9" spans="1:10" ht="17.25" customHeight="1">
      <c r="A9" s="40" t="s">
        <v>13</v>
      </c>
      <c r="B9" s="41" t="s">
        <v>14</v>
      </c>
      <c r="C9" s="11" t="s">
        <v>6</v>
      </c>
      <c r="D9" s="5">
        <f>300274.2/2</f>
        <v>150137.1</v>
      </c>
      <c r="E9" s="5">
        <v>180829.3</v>
      </c>
      <c r="F9" s="42">
        <f>E9/D9</f>
        <v>1.204427819639516</v>
      </c>
      <c r="H9" s="3"/>
      <c r="J9" s="35"/>
    </row>
    <row r="10" spans="1:10" ht="17.25" customHeight="1">
      <c r="A10" s="43" t="s">
        <v>15</v>
      </c>
      <c r="B10" s="41" t="s">
        <v>16</v>
      </c>
      <c r="C10" s="11" t="s">
        <v>6</v>
      </c>
      <c r="D10" s="5">
        <f>11363.53/2</f>
        <v>5681.765</v>
      </c>
      <c r="E10" s="5">
        <v>8769.92</v>
      </c>
      <c r="F10" s="42">
        <f>E10/D10</f>
        <v>1.5435203673506384</v>
      </c>
      <c r="H10" s="3"/>
      <c r="J10" s="35"/>
    </row>
    <row r="11" spans="1:11" s="2" customFormat="1" ht="17.25" customHeight="1">
      <c r="A11" s="44" t="s">
        <v>17</v>
      </c>
      <c r="B11" s="45" t="s">
        <v>18</v>
      </c>
      <c r="C11" s="28" t="s">
        <v>6</v>
      </c>
      <c r="D11" s="4">
        <f>D12+D13</f>
        <v>378033.72000000003</v>
      </c>
      <c r="E11" s="4">
        <f>E12+E13</f>
        <v>374924.57</v>
      </c>
      <c r="F11" s="34">
        <f t="shared" si="0"/>
        <v>0.9917754691301083</v>
      </c>
      <c r="H11" s="38"/>
      <c r="I11" s="30"/>
      <c r="J11" s="35"/>
      <c r="K11" s="39"/>
    </row>
    <row r="12" spans="1:10" ht="17.25" customHeight="1">
      <c r="A12" s="40" t="s">
        <v>19</v>
      </c>
      <c r="B12" s="46" t="s">
        <v>20</v>
      </c>
      <c r="C12" s="47" t="s">
        <v>6</v>
      </c>
      <c r="D12" s="5">
        <f>681783.15/2</f>
        <v>340891.575</v>
      </c>
      <c r="E12" s="48">
        <v>337620.13</v>
      </c>
      <c r="F12" s="49">
        <f>E12/D12</f>
        <v>0.9904032682532562</v>
      </c>
      <c r="H12" s="3"/>
      <c r="J12" s="35"/>
    </row>
    <row r="13" spans="1:10" ht="17.25" customHeight="1">
      <c r="A13" s="43" t="s">
        <v>21</v>
      </c>
      <c r="B13" s="50" t="s">
        <v>22</v>
      </c>
      <c r="C13" s="47" t="s">
        <v>6</v>
      </c>
      <c r="D13" s="5">
        <f>74284.29/2</f>
        <v>37142.145</v>
      </c>
      <c r="E13" s="48">
        <v>37304.44</v>
      </c>
      <c r="F13" s="49">
        <f>E13/D13</f>
        <v>1.0043695645472281</v>
      </c>
      <c r="H13" s="3"/>
      <c r="J13" s="35"/>
    </row>
    <row r="14" spans="1:11" s="2" customFormat="1" ht="17.25" customHeight="1">
      <c r="A14" s="51" t="s">
        <v>23</v>
      </c>
      <c r="B14" s="37" t="s">
        <v>93</v>
      </c>
      <c r="C14" s="28" t="s">
        <v>6</v>
      </c>
      <c r="D14" s="4">
        <f>D15+D16+D17</f>
        <v>300589</v>
      </c>
      <c r="E14" s="4">
        <f>E15+E16+E17</f>
        <v>68053.03</v>
      </c>
      <c r="F14" s="34">
        <f>E14/D14</f>
        <v>0.22639893675417264</v>
      </c>
      <c r="H14" s="38"/>
      <c r="I14" s="30"/>
      <c r="J14" s="35"/>
      <c r="K14" s="39"/>
    </row>
    <row r="15" spans="1:11" s="2" customFormat="1" ht="17.25" customHeight="1">
      <c r="A15" s="52" t="s">
        <v>24</v>
      </c>
      <c r="B15" s="53" t="s">
        <v>94</v>
      </c>
      <c r="C15" s="11" t="s">
        <v>6</v>
      </c>
      <c r="D15" s="5">
        <f>379868.05-D45-(D29+D30+D38+D39+758)</f>
        <v>234577.025</v>
      </c>
      <c r="E15" s="5">
        <f>12074.9-(E29+E30+E38+E39+709)</f>
        <v>3344.66</v>
      </c>
      <c r="F15" s="42">
        <f>E15/D15</f>
        <v>0.014258259094214363</v>
      </c>
      <c r="H15" s="38"/>
      <c r="I15" s="30"/>
      <c r="J15" s="35"/>
      <c r="K15" s="39"/>
    </row>
    <row r="16" spans="1:10" ht="17.25" customHeight="1">
      <c r="A16" s="52" t="s">
        <v>25</v>
      </c>
      <c r="B16" s="41" t="s">
        <v>95</v>
      </c>
      <c r="C16" s="11" t="s">
        <v>6</v>
      </c>
      <c r="D16" s="5">
        <f>129416.74/2</f>
        <v>64708.37</v>
      </c>
      <c r="E16" s="5">
        <v>64708.37</v>
      </c>
      <c r="F16" s="42">
        <f t="shared" si="0"/>
        <v>1</v>
      </c>
      <c r="H16" s="3"/>
      <c r="J16" s="35"/>
    </row>
    <row r="17" spans="1:10" ht="17.25" customHeight="1">
      <c r="A17" s="52" t="s">
        <v>96</v>
      </c>
      <c r="B17" s="41" t="s">
        <v>97</v>
      </c>
      <c r="C17" s="11" t="s">
        <v>6</v>
      </c>
      <c r="D17" s="5">
        <f>2607.21/2</f>
        <v>1303.605</v>
      </c>
      <c r="E17" s="5">
        <v>0</v>
      </c>
      <c r="F17" s="42">
        <f t="shared" si="0"/>
        <v>0</v>
      </c>
      <c r="H17" s="3"/>
      <c r="J17" s="35"/>
    </row>
    <row r="18" spans="1:11" s="2" customFormat="1" ht="54" customHeight="1">
      <c r="A18" s="36" t="s">
        <v>26</v>
      </c>
      <c r="B18" s="45" t="s">
        <v>27</v>
      </c>
      <c r="C18" s="54" t="s">
        <v>6</v>
      </c>
      <c r="D18" s="4">
        <f>36076.71/2</f>
        <v>18038.355</v>
      </c>
      <c r="E18" s="4">
        <v>78271.78</v>
      </c>
      <c r="F18" s="34">
        <f t="shared" si="0"/>
        <v>4.339186139756092</v>
      </c>
      <c r="H18" s="38"/>
      <c r="I18" s="30"/>
      <c r="J18" s="35"/>
      <c r="K18" s="39"/>
    </row>
    <row r="19" spans="1:11" s="2" customFormat="1" ht="43.5" customHeight="1">
      <c r="A19" s="55" t="s">
        <v>28</v>
      </c>
      <c r="B19" s="45" t="s">
        <v>29</v>
      </c>
      <c r="C19" s="28" t="s">
        <v>6</v>
      </c>
      <c r="D19" s="4">
        <f>69342.86/2</f>
        <v>34671.43</v>
      </c>
      <c r="E19" s="4">
        <v>30568.95</v>
      </c>
      <c r="F19" s="34">
        <f t="shared" si="0"/>
        <v>0.8816754890121348</v>
      </c>
      <c r="H19" s="38"/>
      <c r="I19" s="30"/>
      <c r="J19" s="35"/>
      <c r="K19" s="39"/>
    </row>
    <row r="20" spans="1:11" s="2" customFormat="1" ht="15.75" customHeight="1" thickBot="1">
      <c r="A20" s="56" t="s">
        <v>30</v>
      </c>
      <c r="B20" s="37" t="s">
        <v>31</v>
      </c>
      <c r="C20" s="28" t="s">
        <v>6</v>
      </c>
      <c r="D20" s="4">
        <f>(65817.55-48879.64)/2</f>
        <v>8468.955000000002</v>
      </c>
      <c r="E20" s="4">
        <f>31257.98-25231.85</f>
        <v>6026.130000000001</v>
      </c>
      <c r="F20" s="34">
        <f t="shared" si="0"/>
        <v>0.7115553217604769</v>
      </c>
      <c r="H20" s="38"/>
      <c r="I20" s="30"/>
      <c r="J20" s="35"/>
      <c r="K20" s="39"/>
    </row>
    <row r="21" spans="1:10" ht="15.75" customHeight="1" thickBot="1">
      <c r="A21" s="57" t="s">
        <v>32</v>
      </c>
      <c r="B21" s="58" t="s">
        <v>33</v>
      </c>
      <c r="C21" s="27" t="s">
        <v>6</v>
      </c>
      <c r="D21" s="4">
        <f>D22+D35</f>
        <v>216574.18000000005</v>
      </c>
      <c r="E21" s="4">
        <f>E22+E35</f>
        <v>260522.10000000003</v>
      </c>
      <c r="F21" s="34">
        <f t="shared" si="0"/>
        <v>1.202923173944373</v>
      </c>
      <c r="H21" s="14"/>
      <c r="J21" s="35"/>
    </row>
    <row r="22" spans="1:11" s="2" customFormat="1" ht="17.25" customHeight="1">
      <c r="A22" s="59" t="s">
        <v>34</v>
      </c>
      <c r="B22" s="45" t="s">
        <v>35</v>
      </c>
      <c r="C22" s="28" t="s">
        <v>6</v>
      </c>
      <c r="D22" s="4">
        <f>D23+SUM(D26:D34)</f>
        <v>171651.39500000005</v>
      </c>
      <c r="E22" s="4">
        <f>E23+SUM(E26:E34)</f>
        <v>211063.94000000003</v>
      </c>
      <c r="F22" s="34">
        <f t="shared" si="0"/>
        <v>1.2296080669778418</v>
      </c>
      <c r="H22" s="38"/>
      <c r="I22" s="30"/>
      <c r="J22" s="35"/>
      <c r="K22" s="39"/>
    </row>
    <row r="23" spans="1:11" s="2" customFormat="1" ht="18" customHeight="1">
      <c r="A23" s="60" t="s">
        <v>36</v>
      </c>
      <c r="B23" s="50" t="s">
        <v>37</v>
      </c>
      <c r="C23" s="47" t="s">
        <v>6</v>
      </c>
      <c r="D23" s="5">
        <f>D24+D25</f>
        <v>26079.53</v>
      </c>
      <c r="E23" s="48">
        <f>E24+E25</f>
        <v>31480.170000000002</v>
      </c>
      <c r="F23" s="49">
        <f t="shared" si="0"/>
        <v>1.2070834865505629</v>
      </c>
      <c r="H23" s="3"/>
      <c r="I23" s="30"/>
      <c r="J23" s="35"/>
      <c r="K23" s="39"/>
    </row>
    <row r="24" spans="1:11" s="6" customFormat="1" ht="18" customHeight="1">
      <c r="A24" s="61"/>
      <c r="B24" s="62" t="s">
        <v>38</v>
      </c>
      <c r="C24" s="63" t="s">
        <v>6</v>
      </c>
      <c r="D24" s="5">
        <f>46878.21/2</f>
        <v>23439.105</v>
      </c>
      <c r="E24" s="48">
        <v>28319.83</v>
      </c>
      <c r="F24" s="49">
        <f t="shared" si="0"/>
        <v>1.2082300070757823</v>
      </c>
      <c r="H24" s="64"/>
      <c r="I24" s="30"/>
      <c r="J24" s="35"/>
      <c r="K24" s="65"/>
    </row>
    <row r="25" spans="1:11" s="6" customFormat="1" ht="18" customHeight="1">
      <c r="A25" s="61"/>
      <c r="B25" s="66" t="s">
        <v>22</v>
      </c>
      <c r="C25" s="63" t="s">
        <v>6</v>
      </c>
      <c r="D25" s="5">
        <f>5280.85/2</f>
        <v>2640.425</v>
      </c>
      <c r="E25" s="48">
        <f>3160.34</f>
        <v>3160.34</v>
      </c>
      <c r="F25" s="49">
        <f t="shared" si="0"/>
        <v>1.1969058011494362</v>
      </c>
      <c r="H25" s="64"/>
      <c r="I25" s="30"/>
      <c r="J25" s="35"/>
      <c r="K25" s="65"/>
    </row>
    <row r="26" spans="1:10" ht="18" customHeight="1">
      <c r="A26" s="67" t="s">
        <v>39</v>
      </c>
      <c r="B26" s="41" t="s">
        <v>40</v>
      </c>
      <c r="C26" s="11" t="s">
        <v>6</v>
      </c>
      <c r="D26" s="5">
        <f>(69923.19+48879.64)/2</f>
        <v>59401.415</v>
      </c>
      <c r="E26" s="5">
        <f>78668.54+25231.85</f>
        <v>103900.38999999998</v>
      </c>
      <c r="F26" s="42">
        <f t="shared" si="0"/>
        <v>1.7491231479923497</v>
      </c>
      <c r="H26" s="3"/>
      <c r="J26" s="35"/>
    </row>
    <row r="27" spans="1:10" ht="18" customHeight="1">
      <c r="A27" s="68" t="s">
        <v>41</v>
      </c>
      <c r="B27" s="69" t="s">
        <v>98</v>
      </c>
      <c r="C27" s="11" t="s">
        <v>6</v>
      </c>
      <c r="D27" s="5">
        <f>260.55/2</f>
        <v>130.275</v>
      </c>
      <c r="E27" s="7">
        <v>69.03</v>
      </c>
      <c r="F27" s="70">
        <f t="shared" si="0"/>
        <v>0.5298791018998272</v>
      </c>
      <c r="H27" s="71"/>
      <c r="J27" s="35"/>
    </row>
    <row r="28" spans="1:11" s="6" customFormat="1" ht="18" customHeight="1">
      <c r="A28" s="72" t="s">
        <v>42</v>
      </c>
      <c r="B28" s="73" t="s">
        <v>99</v>
      </c>
      <c r="C28" s="17" t="s">
        <v>6</v>
      </c>
      <c r="D28" s="74">
        <f>(137150.5+52.95)/2</f>
        <v>68601.725</v>
      </c>
      <c r="E28" s="74">
        <v>57862.78</v>
      </c>
      <c r="F28" s="75">
        <f t="shared" si="0"/>
        <v>0.8434595485754913</v>
      </c>
      <c r="H28" s="76"/>
      <c r="I28" s="65"/>
      <c r="J28" s="77"/>
      <c r="K28" s="65"/>
    </row>
    <row r="29" spans="1:10" ht="18" customHeight="1">
      <c r="A29" s="78" t="s">
        <v>43</v>
      </c>
      <c r="B29" s="41" t="s">
        <v>44</v>
      </c>
      <c r="C29" s="11" t="s">
        <v>6</v>
      </c>
      <c r="D29" s="5">
        <f>15417.27/2</f>
        <v>7708.635</v>
      </c>
      <c r="E29" s="5">
        <v>6423.67</v>
      </c>
      <c r="F29" s="42"/>
      <c r="H29" s="3"/>
      <c r="J29" s="35"/>
    </row>
    <row r="30" spans="1:10" ht="18" customHeight="1">
      <c r="A30" s="78" t="s">
        <v>45</v>
      </c>
      <c r="B30" s="41" t="s">
        <v>46</v>
      </c>
      <c r="C30" s="11" t="s">
        <v>6</v>
      </c>
      <c r="D30" s="5">
        <f>1052.09/2</f>
        <v>526.045</v>
      </c>
      <c r="E30" s="5">
        <v>324.78</v>
      </c>
      <c r="F30" s="42"/>
      <c r="H30" s="3"/>
      <c r="J30" s="35"/>
    </row>
    <row r="31" spans="1:10" ht="18" customHeight="1">
      <c r="A31" s="78" t="s">
        <v>47</v>
      </c>
      <c r="B31" s="41" t="s">
        <v>48</v>
      </c>
      <c r="C31" s="11" t="s">
        <v>6</v>
      </c>
      <c r="D31" s="5">
        <f>187/2</f>
        <v>93.5</v>
      </c>
      <c r="E31" s="5">
        <v>96.52</v>
      </c>
      <c r="F31" s="42">
        <f t="shared" si="0"/>
        <v>1.0322994652406416</v>
      </c>
      <c r="H31" s="3"/>
      <c r="J31" s="35"/>
    </row>
    <row r="32" spans="1:10" ht="18" customHeight="1">
      <c r="A32" s="78" t="s">
        <v>49</v>
      </c>
      <c r="B32" s="41" t="s">
        <v>50</v>
      </c>
      <c r="C32" s="11" t="s">
        <v>6</v>
      </c>
      <c r="D32" s="5">
        <f>769.49/2</f>
        <v>384.745</v>
      </c>
      <c r="E32" s="5">
        <v>505.64</v>
      </c>
      <c r="F32" s="42">
        <f t="shared" si="0"/>
        <v>1.314221107486777</v>
      </c>
      <c r="H32" s="3"/>
      <c r="J32" s="35"/>
    </row>
    <row r="33" spans="1:10" ht="18" customHeight="1">
      <c r="A33" s="78" t="s">
        <v>51</v>
      </c>
      <c r="B33" s="41" t="s">
        <v>100</v>
      </c>
      <c r="C33" s="11" t="s">
        <v>6</v>
      </c>
      <c r="D33" s="5">
        <f>1636.53/2</f>
        <v>818.265</v>
      </c>
      <c r="E33" s="5">
        <v>891.01</v>
      </c>
      <c r="F33" s="42">
        <f t="shared" si="0"/>
        <v>1.0889015172346368</v>
      </c>
      <c r="H33" s="3"/>
      <c r="J33" s="35"/>
    </row>
    <row r="34" spans="1:10" ht="18" customHeight="1" thickBot="1">
      <c r="A34" s="79" t="s">
        <v>52</v>
      </c>
      <c r="B34" s="50" t="s">
        <v>53</v>
      </c>
      <c r="C34" s="47" t="s">
        <v>6</v>
      </c>
      <c r="D34" s="5">
        <f>(153017.97-137203.45)/2</f>
        <v>7907.259999999995</v>
      </c>
      <c r="E34" s="80">
        <f>(5670.34+3839.61)</f>
        <v>9509.95</v>
      </c>
      <c r="F34" s="81">
        <f t="shared" si="0"/>
        <v>1.2026858861350211</v>
      </c>
      <c r="H34" s="71"/>
      <c r="J34" s="35"/>
    </row>
    <row r="35" spans="1:11" s="9" customFormat="1" ht="17.25" customHeight="1">
      <c r="A35" s="32">
        <v>8</v>
      </c>
      <c r="B35" s="33" t="s">
        <v>54</v>
      </c>
      <c r="C35" s="27" t="s">
        <v>6</v>
      </c>
      <c r="D35" s="29">
        <f>SUM(D36:D43)</f>
        <v>44922.785</v>
      </c>
      <c r="E35" s="29">
        <f>SUM(E36:E43)</f>
        <v>49458.16</v>
      </c>
      <c r="F35" s="82">
        <f t="shared" si="0"/>
        <v>1.1009593461313674</v>
      </c>
      <c r="H35" s="83"/>
      <c r="I35" s="30"/>
      <c r="J35" s="35"/>
      <c r="K35" s="13"/>
    </row>
    <row r="36" spans="1:12" ht="17.25" customHeight="1">
      <c r="A36" s="84" t="s">
        <v>55</v>
      </c>
      <c r="B36" s="50" t="s">
        <v>56</v>
      </c>
      <c r="C36" s="47" t="s">
        <v>6</v>
      </c>
      <c r="D36" s="48">
        <f>57019.68/2</f>
        <v>28509.84</v>
      </c>
      <c r="E36" s="48">
        <v>30739.68</v>
      </c>
      <c r="F36" s="81">
        <f t="shared" si="0"/>
        <v>1.0782129959340354</v>
      </c>
      <c r="H36" s="3"/>
      <c r="J36" s="35"/>
      <c r="L36" s="10"/>
    </row>
    <row r="37" spans="1:10" ht="17.25" customHeight="1">
      <c r="A37" s="84" t="s">
        <v>57</v>
      </c>
      <c r="B37" s="50" t="s">
        <v>58</v>
      </c>
      <c r="C37" s="47" t="s">
        <v>6</v>
      </c>
      <c r="D37" s="48">
        <f>6423.29/2</f>
        <v>3211.645</v>
      </c>
      <c r="E37" s="48">
        <v>3454.59</v>
      </c>
      <c r="F37" s="49">
        <f t="shared" si="0"/>
        <v>1.0756450354880442</v>
      </c>
      <c r="H37" s="3"/>
      <c r="J37" s="35"/>
    </row>
    <row r="38" spans="1:10" ht="17.25" customHeight="1">
      <c r="A38" s="84" t="s">
        <v>59</v>
      </c>
      <c r="B38" s="85" t="s">
        <v>60</v>
      </c>
      <c r="C38" s="47" t="s">
        <v>6</v>
      </c>
      <c r="D38" s="48">
        <f>1260.71/2</f>
        <v>630.355</v>
      </c>
      <c r="E38" s="48">
        <v>1272.79</v>
      </c>
      <c r="F38" s="81"/>
      <c r="H38" s="3"/>
      <c r="J38" s="35"/>
    </row>
    <row r="39" spans="1:10" ht="17.25" customHeight="1">
      <c r="A39" s="84" t="s">
        <v>61</v>
      </c>
      <c r="B39" s="85" t="s">
        <v>62</v>
      </c>
      <c r="C39" s="47" t="s">
        <v>6</v>
      </c>
      <c r="D39" s="48">
        <f>20.76/2</f>
        <v>10.38</v>
      </c>
      <c r="E39" s="80">
        <v>0</v>
      </c>
      <c r="F39" s="81"/>
      <c r="H39" s="71"/>
      <c r="J39" s="35"/>
    </row>
    <row r="40" spans="1:10" ht="17.25" customHeight="1">
      <c r="A40" s="84" t="s">
        <v>63</v>
      </c>
      <c r="B40" s="50" t="s">
        <v>64</v>
      </c>
      <c r="C40" s="47" t="s">
        <v>6</v>
      </c>
      <c r="D40" s="48">
        <f>355.63/2</f>
        <v>177.815</v>
      </c>
      <c r="E40" s="48">
        <v>183.28</v>
      </c>
      <c r="F40" s="81">
        <f t="shared" si="0"/>
        <v>1.0307341900289626</v>
      </c>
      <c r="H40" s="3"/>
      <c r="J40" s="35"/>
    </row>
    <row r="41" spans="1:10" ht="17.25" customHeight="1">
      <c r="A41" s="84" t="s">
        <v>65</v>
      </c>
      <c r="B41" s="50" t="s">
        <v>66</v>
      </c>
      <c r="C41" s="47" t="s">
        <v>6</v>
      </c>
      <c r="D41" s="48">
        <f>518.62/2</f>
        <v>259.31</v>
      </c>
      <c r="E41" s="48">
        <v>338.25</v>
      </c>
      <c r="F41" s="81">
        <f t="shared" si="0"/>
        <v>1.3044232771586133</v>
      </c>
      <c r="H41" s="3"/>
      <c r="J41" s="35"/>
    </row>
    <row r="42" spans="1:10" ht="17.25" customHeight="1">
      <c r="A42" s="84" t="s">
        <v>67</v>
      </c>
      <c r="B42" s="50" t="s">
        <v>68</v>
      </c>
      <c r="C42" s="47" t="s">
        <v>6</v>
      </c>
      <c r="D42" s="48">
        <f>230.56/2</f>
        <v>115.28</v>
      </c>
      <c r="E42" s="48">
        <v>296.11</v>
      </c>
      <c r="F42" s="81">
        <f t="shared" si="0"/>
        <v>2.568615544760583</v>
      </c>
      <c r="H42" s="3"/>
      <c r="J42" s="35"/>
    </row>
    <row r="43" spans="1:10" ht="17.25" customHeight="1" thickBot="1">
      <c r="A43" s="86" t="s">
        <v>69</v>
      </c>
      <c r="B43" s="46" t="s">
        <v>70</v>
      </c>
      <c r="C43" s="47" t="s">
        <v>6</v>
      </c>
      <c r="D43" s="48">
        <f>24016.32/2</f>
        <v>12008.16</v>
      </c>
      <c r="E43" s="80">
        <v>13173.46</v>
      </c>
      <c r="F43" s="81">
        <f t="shared" si="0"/>
        <v>1.0970423445390467</v>
      </c>
      <c r="H43" s="71"/>
      <c r="J43" s="35"/>
    </row>
    <row r="44" spans="1:10" ht="17.25" customHeight="1" thickBot="1">
      <c r="A44" s="87" t="s">
        <v>71</v>
      </c>
      <c r="B44" s="88" t="s">
        <v>72</v>
      </c>
      <c r="C44" s="89" t="s">
        <v>6</v>
      </c>
      <c r="D44" s="90">
        <f>D5+D21</f>
        <v>1166635.81</v>
      </c>
      <c r="E44" s="90">
        <f>E5+E21</f>
        <v>1073268.3</v>
      </c>
      <c r="F44" s="91">
        <f t="shared" si="0"/>
        <v>0.9199685889977953</v>
      </c>
      <c r="H44" s="14"/>
      <c r="J44" s="35"/>
    </row>
    <row r="45" spans="1:10" ht="17.25" customHeight="1" thickBot="1">
      <c r="A45" s="87" t="s">
        <v>73</v>
      </c>
      <c r="B45" s="88" t="s">
        <v>101</v>
      </c>
      <c r="C45" s="89"/>
      <c r="D45" s="90">
        <f>135657.61</f>
        <v>135657.61</v>
      </c>
      <c r="E45" s="90">
        <f>E47-E44</f>
        <v>-40164.820000000065</v>
      </c>
      <c r="F45" s="91">
        <f t="shared" si="0"/>
        <v>-0.29607494927855554</v>
      </c>
      <c r="H45" s="14"/>
      <c r="J45" s="35"/>
    </row>
    <row r="46" spans="1:10" ht="17.25" customHeight="1" thickBot="1">
      <c r="A46" s="87"/>
      <c r="B46" s="88" t="s">
        <v>94</v>
      </c>
      <c r="C46" s="89"/>
      <c r="D46" s="90">
        <f>135657.61</f>
        <v>135657.61</v>
      </c>
      <c r="E46" s="90"/>
      <c r="F46" s="91"/>
      <c r="H46" s="14"/>
      <c r="J46" s="35"/>
    </row>
    <row r="47" spans="1:11" ht="17.25" customHeight="1" thickBot="1">
      <c r="A47" s="87" t="s">
        <v>74</v>
      </c>
      <c r="B47" s="92" t="s">
        <v>75</v>
      </c>
      <c r="C47" s="89" t="s">
        <v>6</v>
      </c>
      <c r="D47" s="90">
        <f>D44-100058</f>
        <v>1066577.81</v>
      </c>
      <c r="E47" s="90">
        <v>1033103.48</v>
      </c>
      <c r="F47" s="91">
        <f t="shared" si="0"/>
        <v>0.9686152011731801</v>
      </c>
      <c r="H47" s="14"/>
      <c r="J47" s="35"/>
      <c r="K47" s="93"/>
    </row>
    <row r="48" spans="1:11" ht="42" customHeight="1" thickBot="1">
      <c r="A48" s="94"/>
      <c r="B48" s="88" t="s">
        <v>102</v>
      </c>
      <c r="C48" s="89"/>
      <c r="D48" s="90">
        <f>183418.99/2</f>
        <v>91709.495</v>
      </c>
      <c r="E48" s="90"/>
      <c r="F48" s="91"/>
      <c r="H48" s="14"/>
      <c r="J48" s="35"/>
      <c r="K48" s="93"/>
    </row>
    <row r="49" spans="1:11" ht="42.75" customHeight="1" thickBot="1">
      <c r="A49" s="94"/>
      <c r="B49" s="88" t="s">
        <v>103</v>
      </c>
      <c r="C49" s="89"/>
      <c r="D49" s="90">
        <f>16697.1/2</f>
        <v>8348.55</v>
      </c>
      <c r="E49" s="90"/>
      <c r="F49" s="91"/>
      <c r="H49" s="14"/>
      <c r="J49" s="35"/>
      <c r="K49" s="93"/>
    </row>
    <row r="50" spans="1:11" ht="28.5" customHeight="1" thickBot="1">
      <c r="A50" s="94"/>
      <c r="B50" s="88" t="s">
        <v>104</v>
      </c>
      <c r="C50" s="89"/>
      <c r="D50" s="90">
        <f>2040324.29/2</f>
        <v>1020162.145</v>
      </c>
      <c r="E50" s="90"/>
      <c r="F50" s="91"/>
      <c r="H50" s="14"/>
      <c r="J50" s="35"/>
      <c r="K50" s="93"/>
    </row>
    <row r="51" spans="1:11" s="9" customFormat="1" ht="21.75" customHeight="1" thickBot="1">
      <c r="A51" s="87" t="s">
        <v>76</v>
      </c>
      <c r="B51" s="92" t="s">
        <v>77</v>
      </c>
      <c r="C51" s="89" t="s">
        <v>78</v>
      </c>
      <c r="D51" s="90">
        <f>SUM(D52:D54)</f>
        <v>11277.15</v>
      </c>
      <c r="E51" s="90">
        <f>SUM(E52:E54)</f>
        <v>12440.130000000001</v>
      </c>
      <c r="F51" s="91">
        <f t="shared" si="0"/>
        <v>1.1031271198840134</v>
      </c>
      <c r="H51" s="14"/>
      <c r="I51" s="30"/>
      <c r="J51" s="35"/>
      <c r="K51" s="13"/>
    </row>
    <row r="52" spans="1:11" s="9" customFormat="1" ht="154.5" customHeight="1">
      <c r="A52" s="95"/>
      <c r="B52" s="69" t="s">
        <v>105</v>
      </c>
      <c r="C52" s="47" t="s">
        <v>78</v>
      </c>
      <c r="D52" s="48">
        <f>16960.45/2</f>
        <v>8480.225</v>
      </c>
      <c r="E52" s="48">
        <f>7216.95+2754.16</f>
        <v>9971.11</v>
      </c>
      <c r="F52" s="49">
        <f>E52/D52</f>
        <v>1.1758072456803919</v>
      </c>
      <c r="G52" s="96"/>
      <c r="H52" s="3"/>
      <c r="I52" s="30"/>
      <c r="J52" s="35"/>
      <c r="K52" s="13"/>
    </row>
    <row r="53" spans="1:11" s="9" customFormat="1" ht="27.75" customHeight="1">
      <c r="A53" s="97"/>
      <c r="B53" s="46" t="s">
        <v>106</v>
      </c>
      <c r="C53" s="47" t="s">
        <v>78</v>
      </c>
      <c r="D53" s="48">
        <f>1197.71/2</f>
        <v>598.855</v>
      </c>
      <c r="E53" s="48">
        <f>414.18</f>
        <v>414.18</v>
      </c>
      <c r="F53" s="49">
        <f>E53/D53</f>
        <v>0.6916198411969509</v>
      </c>
      <c r="H53" s="3"/>
      <c r="I53" s="30"/>
      <c r="J53" s="35"/>
      <c r="K53" s="13"/>
    </row>
    <row r="54" spans="1:11" s="9" customFormat="1" ht="27.75" customHeight="1" thickBot="1">
      <c r="A54" s="97"/>
      <c r="B54" s="69" t="s">
        <v>107</v>
      </c>
      <c r="C54" s="47" t="s">
        <v>78</v>
      </c>
      <c r="D54" s="48">
        <f>4396.14/2</f>
        <v>2198.07</v>
      </c>
      <c r="E54" s="48">
        <f>2054.84</f>
        <v>2054.84</v>
      </c>
      <c r="F54" s="49">
        <f>E54/D54</f>
        <v>0.934838289954369</v>
      </c>
      <c r="H54" s="3"/>
      <c r="I54" s="30"/>
      <c r="J54" s="35"/>
      <c r="K54" s="13"/>
    </row>
    <row r="55" spans="1:11" s="9" customFormat="1" ht="15" customHeight="1">
      <c r="A55" s="98"/>
      <c r="B55" s="58" t="s">
        <v>108</v>
      </c>
      <c r="C55" s="27" t="s">
        <v>109</v>
      </c>
      <c r="D55" s="4"/>
      <c r="E55" s="4"/>
      <c r="F55" s="34" t="e">
        <f t="shared" si="0"/>
        <v>#DIV/0!</v>
      </c>
      <c r="H55" s="14"/>
      <c r="I55" s="30"/>
      <c r="J55" s="35"/>
      <c r="K55" s="13"/>
    </row>
    <row r="56" spans="1:10" ht="12.75" customHeight="1" thickBot="1">
      <c r="A56" s="99"/>
      <c r="B56" s="73" t="s">
        <v>110</v>
      </c>
      <c r="C56" s="27" t="s">
        <v>78</v>
      </c>
      <c r="D56" s="5"/>
      <c r="E56" s="5"/>
      <c r="F56" s="42" t="e">
        <f t="shared" si="0"/>
        <v>#DIV/0!</v>
      </c>
      <c r="H56" s="3"/>
      <c r="J56" s="35"/>
    </row>
    <row r="57" spans="1:10" ht="15" customHeight="1" thickBot="1">
      <c r="A57" s="32" t="s">
        <v>79</v>
      </c>
      <c r="B57" s="58" t="s">
        <v>111</v>
      </c>
      <c r="C57" s="27" t="s">
        <v>80</v>
      </c>
      <c r="D57" s="4">
        <v>90.46</v>
      </c>
      <c r="E57" s="4">
        <v>90.46</v>
      </c>
      <c r="F57" s="34">
        <f t="shared" si="0"/>
        <v>1</v>
      </c>
      <c r="H57" s="100"/>
      <c r="J57" s="35"/>
    </row>
    <row r="58" spans="1:6" ht="168" customHeight="1">
      <c r="A58" s="101" t="s">
        <v>112</v>
      </c>
      <c r="B58" s="69" t="s">
        <v>105</v>
      </c>
      <c r="C58" s="11" t="s">
        <v>80</v>
      </c>
      <c r="D58" s="7" t="s">
        <v>113</v>
      </c>
      <c r="E58" s="7">
        <v>46.37</v>
      </c>
      <c r="F58" s="102">
        <v>46.37</v>
      </c>
    </row>
    <row r="59" spans="1:6" ht="54" customHeight="1">
      <c r="A59" s="103"/>
      <c r="B59" s="69" t="s">
        <v>106</v>
      </c>
      <c r="C59" s="11" t="s">
        <v>80</v>
      </c>
      <c r="D59" s="104" t="s">
        <v>113</v>
      </c>
      <c r="E59" s="7">
        <v>988.41</v>
      </c>
      <c r="F59" s="105">
        <v>988.41</v>
      </c>
    </row>
    <row r="60" spans="1:6" ht="54" customHeight="1" thickBot="1">
      <c r="A60" s="106"/>
      <c r="B60" s="107" t="s">
        <v>114</v>
      </c>
      <c r="C60" s="25" t="s">
        <v>80</v>
      </c>
      <c r="D60" s="108" t="s">
        <v>113</v>
      </c>
      <c r="E60" s="109">
        <v>192.42</v>
      </c>
      <c r="F60" s="110">
        <v>192.42</v>
      </c>
    </row>
    <row r="61" spans="1:6" ht="21" customHeight="1">
      <c r="A61" s="103"/>
      <c r="B61" s="13"/>
      <c r="C61" s="26"/>
      <c r="D61" s="14"/>
      <c r="E61" s="14"/>
      <c r="F61" s="14"/>
    </row>
    <row r="62" spans="1:6" ht="21" customHeight="1">
      <c r="A62" s="12"/>
      <c r="B62" s="13" t="s">
        <v>81</v>
      </c>
      <c r="D62" s="16"/>
      <c r="E62" s="16"/>
      <c r="F62" s="16"/>
    </row>
    <row r="63" spans="1:11" s="9" customFormat="1" ht="17.25" customHeight="1">
      <c r="A63" s="15"/>
      <c r="B63" s="20" t="s">
        <v>82</v>
      </c>
      <c r="C63" s="27" t="s">
        <v>83</v>
      </c>
      <c r="D63" s="19">
        <f>SUM(D65:D68)</f>
        <v>472.3</v>
      </c>
      <c r="E63" s="4">
        <f>SUM(E65:E68)</f>
        <v>381</v>
      </c>
      <c r="F63" s="111">
        <f aca="true" t="shared" si="1" ref="F63:F74">E63/D63</f>
        <v>0.8066906627143764</v>
      </c>
      <c r="H63" s="13"/>
      <c r="I63" s="13"/>
      <c r="J63" s="13"/>
      <c r="K63" s="13"/>
    </row>
    <row r="64" spans="1:6" ht="17.25" customHeight="1">
      <c r="A64" s="27"/>
      <c r="B64" s="17" t="s">
        <v>84</v>
      </c>
      <c r="C64" s="11"/>
      <c r="D64" s="112"/>
      <c r="E64" s="18"/>
      <c r="F64" s="113"/>
    </row>
    <row r="65" spans="1:6" ht="17.25" customHeight="1">
      <c r="A65" s="11"/>
      <c r="B65" s="8" t="s">
        <v>85</v>
      </c>
      <c r="C65" s="11" t="s">
        <v>83</v>
      </c>
      <c r="D65" s="18">
        <v>395.6</v>
      </c>
      <c r="E65" s="18">
        <v>321.8</v>
      </c>
      <c r="F65" s="113">
        <f t="shared" si="1"/>
        <v>0.8134479271991911</v>
      </c>
    </row>
    <row r="66" spans="1:6" ht="17.25" customHeight="1">
      <c r="A66" s="11"/>
      <c r="B66" s="8" t="s">
        <v>86</v>
      </c>
      <c r="C66" s="11" t="s">
        <v>83</v>
      </c>
      <c r="D66" s="18">
        <v>21.5</v>
      </c>
      <c r="E66" s="18">
        <v>22</v>
      </c>
      <c r="F66" s="113">
        <f t="shared" si="1"/>
        <v>1.0232558139534884</v>
      </c>
    </row>
    <row r="67" spans="1:6" ht="17.25" customHeight="1">
      <c r="A67" s="114"/>
      <c r="B67" s="8" t="s">
        <v>87</v>
      </c>
      <c r="C67" s="11" t="s">
        <v>83</v>
      </c>
      <c r="D67" s="18">
        <v>1</v>
      </c>
      <c r="E67" s="18">
        <v>1</v>
      </c>
      <c r="F67" s="113">
        <f t="shared" si="1"/>
        <v>1</v>
      </c>
    </row>
    <row r="68" spans="1:6" ht="17.25" customHeight="1">
      <c r="A68" s="114"/>
      <c r="B68" s="8" t="s">
        <v>88</v>
      </c>
      <c r="C68" s="11" t="s">
        <v>83</v>
      </c>
      <c r="D68" s="18">
        <v>54.2</v>
      </c>
      <c r="E68" s="18">
        <v>36.2</v>
      </c>
      <c r="F68" s="113">
        <f t="shared" si="1"/>
        <v>0.6678966789667897</v>
      </c>
    </row>
    <row r="69" spans="1:11" s="9" customFormat="1" ht="17.25" customHeight="1">
      <c r="A69" s="11"/>
      <c r="B69" s="20" t="s">
        <v>89</v>
      </c>
      <c r="C69" s="27" t="s">
        <v>90</v>
      </c>
      <c r="D69" s="115">
        <v>138974</v>
      </c>
      <c r="E69" s="115">
        <f>(E12+E24+E36+1275.43)/E63/6*1000</f>
        <v>174083.58267716537</v>
      </c>
      <c r="F69" s="111">
        <f t="shared" si="1"/>
        <v>1.2526341810494435</v>
      </c>
      <c r="H69" s="13"/>
      <c r="I69" s="13"/>
      <c r="J69" s="13"/>
      <c r="K69" s="13"/>
    </row>
    <row r="70" spans="1:6" ht="17.25" customHeight="1">
      <c r="A70" s="27"/>
      <c r="B70" s="17" t="s">
        <v>84</v>
      </c>
      <c r="C70" s="11"/>
      <c r="D70" s="116"/>
      <c r="E70" s="117"/>
      <c r="F70" s="113"/>
    </row>
    <row r="71" spans="1:6" ht="17.25" customHeight="1">
      <c r="A71" s="11"/>
      <c r="B71" s="8" t="s">
        <v>85</v>
      </c>
      <c r="C71" s="11" t="s">
        <v>90</v>
      </c>
      <c r="D71" s="117">
        <v>143618</v>
      </c>
      <c r="E71" s="117">
        <f>E12/E65/6*1000</f>
        <v>174860.22892065466</v>
      </c>
      <c r="F71" s="113">
        <f t="shared" si="1"/>
        <v>1.2175370003805557</v>
      </c>
    </row>
    <row r="72" spans="1:6" ht="17.25" customHeight="1">
      <c r="A72" s="11"/>
      <c r="B72" s="8" t="s">
        <v>86</v>
      </c>
      <c r="C72" s="11" t="s">
        <v>90</v>
      </c>
      <c r="D72" s="117">
        <v>181698</v>
      </c>
      <c r="E72" s="117">
        <f>E24/E66/6*1000</f>
        <v>214544.1666666667</v>
      </c>
      <c r="F72" s="113">
        <f t="shared" si="1"/>
        <v>1.1807734078892815</v>
      </c>
    </row>
    <row r="73" spans="1:6" ht="17.25" customHeight="1">
      <c r="A73" s="11"/>
      <c r="B73" s="8" t="s">
        <v>87</v>
      </c>
      <c r="C73" s="11" t="s">
        <v>90</v>
      </c>
      <c r="D73" s="117">
        <v>163784</v>
      </c>
      <c r="E73" s="117">
        <f>1275.43/2/6*1000</f>
        <v>106285.83333333334</v>
      </c>
      <c r="F73" s="113">
        <f t="shared" si="1"/>
        <v>0.6489390498054348</v>
      </c>
    </row>
    <row r="74" spans="1:6" ht="17.25" customHeight="1">
      <c r="A74" s="11"/>
      <c r="B74" s="8" t="s">
        <v>88</v>
      </c>
      <c r="C74" s="11" t="s">
        <v>90</v>
      </c>
      <c r="D74" s="117">
        <v>87669</v>
      </c>
      <c r="E74" s="117">
        <f>E36/E68/6*1000</f>
        <v>141527.0718232044</v>
      </c>
      <c r="F74" s="113">
        <f t="shared" si="1"/>
        <v>1.6143342780595695</v>
      </c>
    </row>
    <row r="75" spans="1:5" s="24" customFormat="1" ht="21" customHeight="1">
      <c r="A75" s="15"/>
      <c r="B75" s="13"/>
      <c r="C75" s="22"/>
      <c r="D75" s="22"/>
      <c r="E75" s="23"/>
    </row>
    <row r="76" ht="21" customHeight="1">
      <c r="A76" s="21"/>
    </row>
  </sheetData>
  <sheetProtection/>
  <mergeCells count="8">
    <mergeCell ref="H3:H4"/>
    <mergeCell ref="A1:F1"/>
    <mergeCell ref="A3:A4"/>
    <mergeCell ref="B3:B4"/>
    <mergeCell ref="C3:C4"/>
    <mergeCell ref="D3:D4"/>
    <mergeCell ref="E3:E4"/>
    <mergeCell ref="F3:F4"/>
  </mergeCells>
  <printOptions/>
  <pageMargins left="0" right="0" top="0" bottom="0" header="0" footer="0"/>
  <pageSetup horizontalDpi="600" verticalDpi="600" orientation="portrait" paperSize="9" scale="80" r:id="rId3"/>
  <colBreaks count="1" manualBreakCount="1">
    <brk id="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 и Мама</dc:creator>
  <cp:keywords/>
  <dc:description/>
  <cp:lastModifiedBy>Индира Нурсабитова1</cp:lastModifiedBy>
  <cp:lastPrinted>2021-07-30T01:33:16Z</cp:lastPrinted>
  <dcterms:created xsi:type="dcterms:W3CDTF">2016-06-16T06:31:36Z</dcterms:created>
  <dcterms:modified xsi:type="dcterms:W3CDTF">2023-12-06T07:59:21Z</dcterms:modified>
  <cp:category/>
  <cp:version/>
  <cp:contentType/>
  <cp:contentStatus/>
</cp:coreProperties>
</file>