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tabRatio="852" activeTab="0"/>
  </bookViews>
  <sheets>
    <sheet name="смета К" sheetId="1" r:id="rId1"/>
  </sheets>
  <definedNames>
    <definedName name="_xlnm.Print_Titles" localSheetId="0">'смета К'!$6:$6</definedName>
    <definedName name="_xlnm.Print_Area" localSheetId="0">'смета К'!$A$1:$I$213</definedName>
  </definedNames>
  <calcPr fullCalcOnLoad="1"/>
</workbook>
</file>

<file path=xl/comments1.xml><?xml version="1.0" encoding="utf-8"?>
<comments xmlns="http://schemas.openxmlformats.org/spreadsheetml/2006/main">
  <authors>
    <author>Peo3</author>
    <author>PEO2</author>
  </authors>
  <commentList>
    <comment ref="B352" authorId="0">
      <text>
        <r>
          <rPr>
            <b/>
            <sz val="8"/>
            <rFont val="Tahoma"/>
            <family val="2"/>
          </rPr>
          <t>Peo3:</t>
        </r>
        <r>
          <rPr>
            <sz val="8"/>
            <rFont val="Tahoma"/>
            <family val="2"/>
          </rPr>
          <t xml:space="preserve">
канц.товары,бланки</t>
        </r>
      </text>
    </comment>
    <comment ref="B357" authorId="0">
      <text>
        <r>
          <rPr>
            <b/>
            <sz val="8"/>
            <rFont val="Tahoma"/>
            <family val="2"/>
          </rPr>
          <t>Peo3:</t>
        </r>
        <r>
          <rPr>
            <sz val="8"/>
            <rFont val="Tahoma"/>
            <family val="2"/>
          </rPr>
          <t xml:space="preserve">
из лимитов</t>
        </r>
      </text>
    </comment>
    <comment ref="B126" authorId="1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+аудит, переоценка ОС, вывеска, по сч.7211 обработка архива, нотариус, регистрация недв.имущества</t>
        </r>
      </text>
    </comment>
  </commentList>
</comments>
</file>

<file path=xl/sharedStrings.xml><?xml version="1.0" encoding="utf-8"?>
<sst xmlns="http://schemas.openxmlformats.org/spreadsheetml/2006/main" count="612" uniqueCount="328">
  <si>
    <t>1.</t>
  </si>
  <si>
    <t>5.</t>
  </si>
  <si>
    <t>7.1.2.</t>
  </si>
  <si>
    <t xml:space="preserve">Оплата работ и услуг производственного  характера, выполняемых  сторонними организациями </t>
  </si>
  <si>
    <t>6.</t>
  </si>
  <si>
    <t>Прочие  затраты</t>
  </si>
  <si>
    <t xml:space="preserve">  Расходы периода,    всего     </t>
  </si>
  <si>
    <t>7.</t>
  </si>
  <si>
    <t>Общие и административные расходы,  всего</t>
  </si>
  <si>
    <t>7.1.</t>
  </si>
  <si>
    <t>7.1.1.</t>
  </si>
  <si>
    <t>8.7.</t>
  </si>
  <si>
    <t>прочие  затраты</t>
  </si>
  <si>
    <t>тыс.кВт</t>
  </si>
  <si>
    <t>8.8.</t>
  </si>
  <si>
    <t>VIII.</t>
  </si>
  <si>
    <t>III.</t>
  </si>
  <si>
    <t>IV.</t>
  </si>
  <si>
    <t>VII.</t>
  </si>
  <si>
    <t xml:space="preserve">Объемы оказываемых услуг </t>
  </si>
  <si>
    <t>1.2.</t>
  </si>
  <si>
    <t>1.3.</t>
  </si>
  <si>
    <t xml:space="preserve">Всего затрат  на предоставление услуг   </t>
  </si>
  <si>
    <t>IX.</t>
  </si>
  <si>
    <t xml:space="preserve"> тенге/м3</t>
  </si>
  <si>
    <t>I.</t>
  </si>
  <si>
    <t>2.</t>
  </si>
  <si>
    <t>3.</t>
  </si>
  <si>
    <t>4.</t>
  </si>
  <si>
    <t>тыс. тенге</t>
  </si>
  <si>
    <t xml:space="preserve"> Материальные затраты</t>
  </si>
  <si>
    <t>1.1.</t>
  </si>
  <si>
    <t xml:space="preserve"> Наименование показателей  тарифной  сметы</t>
  </si>
  <si>
    <t>тыс.м3</t>
  </si>
  <si>
    <t>сопровождение и развитие программного продукта 1С</t>
  </si>
  <si>
    <t>тыс.тенге</t>
  </si>
  <si>
    <t>8.</t>
  </si>
  <si>
    <t>Расходы на содержание службы сбыта,  всего</t>
  </si>
  <si>
    <t>8.1.</t>
  </si>
  <si>
    <t>8.2.</t>
  </si>
  <si>
    <t>8.3.</t>
  </si>
  <si>
    <t>8.4.</t>
  </si>
  <si>
    <t>8.5.</t>
  </si>
  <si>
    <t>8.6.</t>
  </si>
  <si>
    <t>7.2.</t>
  </si>
  <si>
    <t>7.3.</t>
  </si>
  <si>
    <t>7.4.</t>
  </si>
  <si>
    <t>7.5.</t>
  </si>
  <si>
    <t>7.6.</t>
  </si>
  <si>
    <t>7.7.</t>
  </si>
  <si>
    <t>7.8.</t>
  </si>
  <si>
    <t>7.9.</t>
  </si>
  <si>
    <t>1.4.</t>
  </si>
  <si>
    <t>Затраты на оплату труда</t>
  </si>
  <si>
    <t>2.1.</t>
  </si>
  <si>
    <t>2.2.</t>
  </si>
  <si>
    <t>3.1.</t>
  </si>
  <si>
    <t>3.2.</t>
  </si>
  <si>
    <t>4.1.</t>
  </si>
  <si>
    <t>4.2.</t>
  </si>
  <si>
    <t>персонала ,занятого на кап. ремонте с удорожанием стоимости ОС</t>
  </si>
  <si>
    <t>9.4.</t>
  </si>
  <si>
    <t>административного  персонала</t>
  </si>
  <si>
    <t>9.5.</t>
  </si>
  <si>
    <t>водители служебных автомобилей</t>
  </si>
  <si>
    <t>10.</t>
  </si>
  <si>
    <t>персонала службы реализации услуг</t>
  </si>
  <si>
    <t>10.1.</t>
  </si>
  <si>
    <t>Среднемесячная заработная плата, всего,</t>
  </si>
  <si>
    <t>тенге\м-ц</t>
  </si>
  <si>
    <t>10.2.</t>
  </si>
  <si>
    <t>10.3.</t>
  </si>
  <si>
    <t>10.4.</t>
  </si>
  <si>
    <t>Справочно:</t>
  </si>
  <si>
    <t>9.</t>
  </si>
  <si>
    <t>Среднесписочная численность персонала</t>
  </si>
  <si>
    <t>человек</t>
  </si>
  <si>
    <t>9.1.</t>
  </si>
  <si>
    <t>в том числе :</t>
  </si>
  <si>
    <t>9.2.</t>
  </si>
  <si>
    <t>производственного  персонала</t>
  </si>
  <si>
    <t>9.3.</t>
  </si>
  <si>
    <t xml:space="preserve">  цена электроэнергии</t>
  </si>
  <si>
    <t>прочие потребители</t>
  </si>
  <si>
    <t xml:space="preserve">                                                  в натуральных показателях</t>
  </si>
  <si>
    <t>сервисное обслуживание  теплосчетчиков,лабораторного оборудования</t>
  </si>
  <si>
    <t>Вознаграждения по кредитам, всего в т.ч.</t>
  </si>
  <si>
    <t>% по кредиту ЕБРР</t>
  </si>
  <si>
    <t>% по кредиту "Нұрлы Жол"</t>
  </si>
  <si>
    <t xml:space="preserve">Всего доходов </t>
  </si>
  <si>
    <t>в том числе:</t>
  </si>
  <si>
    <t>инвентаризация и составление паспортов парниковых газов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</si>
  <si>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</si>
  <si>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</si>
  <si>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</si>
  <si>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</si>
  <si>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</si>
  <si>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</si>
  <si>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</si>
  <si>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</si>
  <si>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</si>
  <si>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</si>
  <si>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</si>
  <si>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</si>
  <si>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</si>
  <si>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</si>
  <si>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</si>
  <si>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анализ воздействия предприятия на окружающую среду</t>
  </si>
  <si>
    <t>Прибыль</t>
  </si>
  <si>
    <t>тенге/кВт</t>
  </si>
  <si>
    <t>выполненный  сторонними организациями</t>
  </si>
  <si>
    <t>выполненный хоз.способом</t>
  </si>
  <si>
    <t xml:space="preserve"> Затраты на производство и предоставление услуг, всего </t>
  </si>
  <si>
    <r>
      <t xml:space="preserve">Наименование субъекта: </t>
    </r>
    <r>
      <rPr>
        <b/>
        <sz val="14"/>
        <rFont val="Times New Roman"/>
        <family val="1"/>
      </rPr>
      <t xml:space="preserve"> ГКП "Өскемен Водоканал" акимата города Усть-Каменогорска</t>
    </r>
  </si>
  <si>
    <t>оплата  труда ,всего, в т.ч.</t>
  </si>
  <si>
    <t xml:space="preserve">заработная плата административного персонала    </t>
  </si>
  <si>
    <t>налоги, всего, в т.ч.:</t>
  </si>
  <si>
    <t>износ основных средств</t>
  </si>
  <si>
    <t>электроэнергия</t>
  </si>
  <si>
    <t>теплоэнергия</t>
  </si>
  <si>
    <t>материалы на содержание и текущий  ремонт</t>
  </si>
  <si>
    <t xml:space="preserve">заработная плата     </t>
  </si>
  <si>
    <t>амортизация  нематериальных  активов</t>
  </si>
  <si>
    <t xml:space="preserve">материалы  на содержание </t>
  </si>
  <si>
    <t xml:space="preserve">заработная плата </t>
  </si>
  <si>
    <t xml:space="preserve">ГСМ        </t>
  </si>
  <si>
    <t>II.</t>
  </si>
  <si>
    <t>№ п/п</t>
  </si>
  <si>
    <t>Текущий и капитальный ремонт, не приводящий к увеличению стоимости основных средств</t>
  </si>
  <si>
    <t xml:space="preserve">       Директор ГКП на ПХВ"Өскемен Водоканал"                                                     Е.М.Аубакиров</t>
  </si>
  <si>
    <t>совместное содержание  основных средств</t>
  </si>
  <si>
    <t>испытание страховочного инвентаря</t>
  </si>
  <si>
    <t>услуги утилизации</t>
  </si>
  <si>
    <t>охрана  объектов</t>
  </si>
  <si>
    <t>сан.очистка</t>
  </si>
  <si>
    <t>услуги связи</t>
  </si>
  <si>
    <t xml:space="preserve">проездные </t>
  </si>
  <si>
    <t>страхование автотранспорта</t>
  </si>
  <si>
    <t>командировочные расходы</t>
  </si>
  <si>
    <t>медицинский осмотр</t>
  </si>
  <si>
    <t>обслуживание транспортных средств</t>
  </si>
  <si>
    <t>повышение квалификации</t>
  </si>
  <si>
    <t>сан.очистка и дезинфекция</t>
  </si>
  <si>
    <t>имущественный налог</t>
  </si>
  <si>
    <t>земельный  налог</t>
  </si>
  <si>
    <t>налог на транспорт</t>
  </si>
  <si>
    <t>услуги по поверке средств измерений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</si>
  <si>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</si>
  <si>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</si>
  <si>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</si>
  <si>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</si>
  <si>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</si>
  <si>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</si>
  <si>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</si>
  <si>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</si>
  <si>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</si>
  <si>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</si>
  <si>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прочие маркетинговые услуги (СМИ)</t>
  </si>
  <si>
    <t xml:space="preserve">экологическое страхование </t>
  </si>
  <si>
    <t>обязательное  страхование 3-х лиц</t>
  </si>
  <si>
    <t xml:space="preserve">обязательное  страхование работников </t>
  </si>
  <si>
    <t>услуги банка</t>
  </si>
  <si>
    <t>обслуживание оргтехники</t>
  </si>
  <si>
    <t>почтовые  расходы</t>
  </si>
  <si>
    <t>охрана касс и сигнализация</t>
  </si>
  <si>
    <t>связь</t>
  </si>
  <si>
    <t>проездные</t>
  </si>
  <si>
    <t>Тариф по предельному уровню за м3, без НДС</t>
  </si>
  <si>
    <t>эмиссия в окружающую среду</t>
  </si>
  <si>
    <t>командировочные  расходы</t>
  </si>
  <si>
    <t>информационные  и консультативные услуги</t>
  </si>
  <si>
    <t>повышение квалификации АУП</t>
  </si>
  <si>
    <t>7.3.1</t>
  </si>
  <si>
    <t>7.3.2</t>
  </si>
  <si>
    <t>7.3.3</t>
  </si>
  <si>
    <t>8.8.1</t>
  </si>
  <si>
    <t>8.8.2</t>
  </si>
  <si>
    <t>8.8.3</t>
  </si>
  <si>
    <t>8.8.4</t>
  </si>
  <si>
    <t>8.8.5</t>
  </si>
  <si>
    <t>8.8.6</t>
  </si>
  <si>
    <t>обслуживание системы "Мокрый барьер"</t>
  </si>
  <si>
    <t>6.11</t>
  </si>
  <si>
    <t>оказание прачечных услуг (стирка, сушка) спецодежды</t>
  </si>
  <si>
    <t>прочие накладные расходы</t>
  </si>
  <si>
    <t>финансовая экспертиза</t>
  </si>
  <si>
    <t>техническая экспертиза</t>
  </si>
  <si>
    <t>энергоаудит</t>
  </si>
  <si>
    <t>мониторинг подземных вод</t>
  </si>
  <si>
    <t>экспертные заключения</t>
  </si>
  <si>
    <t>8.8.7</t>
  </si>
  <si>
    <t>услуги экспертизы</t>
  </si>
  <si>
    <t>5.16</t>
  </si>
  <si>
    <t>5.18</t>
  </si>
  <si>
    <t>ОСМС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</si>
  <si>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</si>
  <si>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</si>
  <si>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>отчисления от оплаты труда:</t>
  </si>
  <si>
    <t>социальные отчисления</t>
  </si>
  <si>
    <t>социальный налог</t>
  </si>
  <si>
    <t>на выполнение инвест.программы</t>
  </si>
  <si>
    <t xml:space="preserve">Амортизация, всего </t>
  </si>
  <si>
    <t>3.3.</t>
  </si>
  <si>
    <t>услуги по профилактическим аварийно-спасательным работам</t>
  </si>
  <si>
    <t>инспекционная проверка проведения работ по аккредитации</t>
  </si>
  <si>
    <t>проверка эффективности систем вентиляции</t>
  </si>
  <si>
    <t>подписка на периодическую печать</t>
  </si>
  <si>
    <t>заработная плата водителей служебного транспорта</t>
  </si>
  <si>
    <t>отчисления от оплаты труда, в т.ч.:</t>
  </si>
  <si>
    <t>обязательное социальное медицинское страхование (ОСМС)</t>
  </si>
  <si>
    <t xml:space="preserve">содержание  служебного транспорта, в т.ч. </t>
  </si>
  <si>
    <t>топливо</t>
  </si>
  <si>
    <t>7.1.2.2</t>
  </si>
  <si>
    <t>7.1.2.1</t>
  </si>
  <si>
    <t>7.1.2.3</t>
  </si>
  <si>
    <t>амортизация основных средств</t>
  </si>
  <si>
    <t>7.9.1</t>
  </si>
  <si>
    <t>7.9.2</t>
  </si>
  <si>
    <t>7.9.3</t>
  </si>
  <si>
    <t>7.9.4</t>
  </si>
  <si>
    <t>7.9.5</t>
  </si>
  <si>
    <t>7.9.6</t>
  </si>
  <si>
    <t>7.9.7</t>
  </si>
  <si>
    <t>7.9.8</t>
  </si>
  <si>
    <t>7.9.9</t>
  </si>
  <si>
    <t>7.9.10</t>
  </si>
  <si>
    <t>7.9.11</t>
  </si>
  <si>
    <t>7.9.12</t>
  </si>
  <si>
    <t>7.9.13</t>
  </si>
  <si>
    <t>7.9.14</t>
  </si>
  <si>
    <t>7.9.15</t>
  </si>
  <si>
    <t>7.9.16</t>
  </si>
  <si>
    <t>7.9.17</t>
  </si>
  <si>
    <t>7.9.18</t>
  </si>
  <si>
    <t>7.9.19</t>
  </si>
  <si>
    <t>8.2.1.</t>
  </si>
  <si>
    <t>8.2.2.</t>
  </si>
  <si>
    <t>8.2.3.</t>
  </si>
  <si>
    <t xml:space="preserve">прочие потребители </t>
  </si>
  <si>
    <t>организации, содержащиеся за счет бюджетнных средств</t>
  </si>
  <si>
    <t>Сумма необоснованно полученного дохода, установленная по итогам анализа исполнения тарифной сметы за 2021 год</t>
  </si>
  <si>
    <t>Всего доходов  с учетом суммы необоснованно полученного дохода , в том числе</t>
  </si>
  <si>
    <t>прочие  затраты, в т.ч.</t>
  </si>
  <si>
    <t>обязательные профессиональные пенсионные взносы ОППВ</t>
  </si>
  <si>
    <t>вывоз и захоронение илистых отходов</t>
  </si>
  <si>
    <t>разработка нормативов обращения с отходами</t>
  </si>
  <si>
    <t>разработка и согласование проекта нормативов ПДВ</t>
  </si>
  <si>
    <t>5.17</t>
  </si>
  <si>
    <t>7.9.12.1</t>
  </si>
  <si>
    <t>7.9.12.2</t>
  </si>
  <si>
    <t>7.9.12.2.1</t>
  </si>
  <si>
    <t>7.9.12.2.2</t>
  </si>
  <si>
    <t>7.9.12.2.3</t>
  </si>
  <si>
    <t>7.9.12.3</t>
  </si>
  <si>
    <t>7.9.12.4</t>
  </si>
  <si>
    <t>7.9.17.1</t>
  </si>
  <si>
    <t>7.9.17.2</t>
  </si>
  <si>
    <t>Сумма необоснованно полученного дохода, установленная по итогам анализа исполнения  тарифной сметы и инвестиционной программы</t>
  </si>
  <si>
    <t>покупка электрической энергии и другие сопутствующие услуги, в том числе:</t>
  </si>
  <si>
    <t>покупка от УК ГЭС, в том числе:</t>
  </si>
  <si>
    <t>покупка от УК ТЭЦ, в том числе:</t>
  </si>
  <si>
    <t>услуги РФЦ по ВИЭ, в том числе:</t>
  </si>
  <si>
    <t>тариф</t>
  </si>
  <si>
    <t>услуги АО "KEGOC" по балансированию электрической энергии, в том числе:</t>
  </si>
  <si>
    <t>передача электрической энергии, в том числе:</t>
  </si>
  <si>
    <t>по сетям  АО "KEGOC", в том числе:</t>
  </si>
  <si>
    <t>по сетям  АО "ОЭСК", в том числе:</t>
  </si>
  <si>
    <t>по сетям  ТОО "ВК Энергия", в том числе:</t>
  </si>
  <si>
    <t>по сетям  ТОО"СиП", в том числе:</t>
  </si>
  <si>
    <t>по сетям  ТОО "Энергис", в том числе:</t>
  </si>
  <si>
    <t>по сетям АО "Аэропорт Усть-Каменогорск", в том числе:</t>
  </si>
  <si>
    <t>по сетям  ТОО "Казцинк-Энерго", в том числе:</t>
  </si>
  <si>
    <t>в натуральных показателях</t>
  </si>
  <si>
    <t>МВт</t>
  </si>
  <si>
    <t xml:space="preserve">амортизация основных средств </t>
  </si>
  <si>
    <t>амортизация нематериальных активов</t>
  </si>
  <si>
    <t xml:space="preserve"> </t>
  </si>
  <si>
    <t>Директор ГКП на ПХВ "Өскемен Водоканал"</t>
  </si>
  <si>
    <t>Утверждено, приказ № 277-ОД от 29.11.2021г</t>
  </si>
  <si>
    <t>перезарядка и техобслуживание огнетушителей</t>
  </si>
  <si>
    <t>аттестация рабочих мест</t>
  </si>
  <si>
    <t>лицензирование</t>
  </si>
  <si>
    <t>население</t>
  </si>
  <si>
    <t>предприятия, занимающиеся производством тепловой энергии и оказанием услуг горячего водоснабжения</t>
  </si>
  <si>
    <t>на возврат основного долга по кредиту ЕБРР</t>
  </si>
  <si>
    <t>на возврат основного долга по кредиту Нурлы Жол</t>
  </si>
  <si>
    <t>услуги по обработке и доставке платежного документа</t>
  </si>
  <si>
    <t>8.8.7.</t>
  </si>
  <si>
    <t>Фактически сложившиеся показатели тарифной сметы</t>
  </si>
  <si>
    <t>Причины отклонения</t>
  </si>
  <si>
    <t>Тарифная смета на услуги водоотведения за 2022 год</t>
  </si>
  <si>
    <t>План затрат состоит из среднего значения двух тарифных смет</t>
  </si>
  <si>
    <t>удорожание материалов, износ сетей 80%</t>
  </si>
  <si>
    <t>рост цен бензина и дизтоплива</t>
  </si>
  <si>
    <t>увеличение объемов потребления услуг и стоимости стратег.товара</t>
  </si>
  <si>
    <t>увеличение стоимости услуг теплоснабжения</t>
  </si>
  <si>
    <t>сверхурочные работы, связанные с устранением аварийных ситуаций на сетях</t>
  </si>
  <si>
    <t>оплата согласно счета на оплату, изменение графика</t>
  </si>
  <si>
    <t>сокращение затрат в связи с их перераспределением</t>
  </si>
  <si>
    <t>перенос срока исполнения на январь 2023 года</t>
  </si>
  <si>
    <t>удорожание стоимости услуг</t>
  </si>
  <si>
    <t>исполнение обязательств по договору цессии за 2021год</t>
  </si>
  <si>
    <t>дефицит утвержденных затрат</t>
  </si>
  <si>
    <t>увеличение объемов реализации</t>
  </si>
  <si>
    <t>сверхурочные работы, связанные с устранением аварийных ситуаций и текучестью кадров</t>
  </si>
  <si>
    <t>дефицит утвержденных затрат, исполнено согласно Налогового Кодекса РК</t>
  </si>
  <si>
    <t>увеличение корреспонденции по должникам</t>
  </si>
  <si>
    <t>дефицит утвержденных затрат, исполнено согласно требований Экологического кодекса РК</t>
  </si>
  <si>
    <t>мероприятия (лицензия на мобильное приложение и сайт) , проведенные в рамках всеобщей цифровизации</t>
  </si>
  <si>
    <t>удорожание стоимости проезда с 60 до 130 тенге</t>
  </si>
  <si>
    <t>обработка архива, переоценка ОС, аудит, изготовление вывески, регистрация недвиж.имущества</t>
  </si>
  <si>
    <t>неиспользован в рамках инвест.программы износ ОС, срок исполнения мероприятий ИП 1 полугодие 2023 года</t>
  </si>
  <si>
    <t>увеличение ставки по займу</t>
  </si>
  <si>
    <t>факт в апреле 2023г, экспериза инвест.программы</t>
  </si>
  <si>
    <t>утверждено на период с 01.07.2022г по 30.06.2023г, сроки исполнения 1 полугодие 2023 года</t>
  </si>
  <si>
    <t xml:space="preserve">утверждено на период с 01.07.2022г по 30.06.2023г, сроки исполнения 1 полугодие 2023 </t>
  </si>
  <si>
    <t>политика предприятия по сокращению затрат</t>
  </si>
  <si>
    <t>удорожание стоимости услуг(Call-центр)</t>
  </si>
  <si>
    <t>внеплановые работы, обслуживание эл.очереди</t>
  </si>
  <si>
    <t>внедрение ЕПД по распоряжению акимата ВКО, не предусмотрено при утверждении ТС</t>
  </si>
  <si>
    <t>Предусмотрено в утвержденной тарифной смете</t>
  </si>
  <si>
    <t>Ед.измерения</t>
  </si>
  <si>
    <t>Откло-нение, %</t>
  </si>
  <si>
    <t>Утверждено, приказ № 245-ОД от 22.11.2022г период с 01.07.2022г. по 31.06.2023г.</t>
  </si>
  <si>
    <t>перерасход связан с устранением аварийных ситуаций, износом сетей на 80%</t>
  </si>
  <si>
    <t>исп.Раченкова Л.В.</t>
  </si>
  <si>
    <t>Планируемый объем средневзвешенный, состоит из среднего значения двух тарифных смет</t>
  </si>
  <si>
    <t>Е.М. Аубакиров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</si>
</sst>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0.0%"/>
    <numFmt numFmtId="177" formatCode="0.0000"/>
    <numFmt numFmtId="178" formatCode="#,##0.0000"/>
    <numFmt numFmtId="179" formatCode="_-* #,##0.0_р_._-;\-* #,##0.0_р_._-;_-* &quot;-&quot;??_р_._-;_-@_-"/>
    <numFmt numFmtId="180" formatCode="_-* #,##0_р_._-;\-* #,##0_р_._-;_-* &quot;-&quot;??_р_._-;_-@_-"/>
    <numFmt numFmtId="181" formatCode="0.00000000"/>
    <numFmt numFmtId="182" formatCode="#,##0.0_ ;\-#,##0.0\ 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 ;\-#,##0.00\ "/>
    <numFmt numFmtId="189" formatCode="#,##0_ ;\-#,##0\ "/>
    <numFmt numFmtId="190" formatCode="0.00000"/>
    <numFmt numFmtId="191" formatCode="0.000000"/>
    <numFmt numFmtId="192" formatCode="0.000%"/>
    <numFmt numFmtId="193" formatCode="#,##0.00000"/>
    <numFmt numFmtId="194" formatCode="#,##0.000000"/>
    <numFmt numFmtId="195" formatCode="#,##0.0000000"/>
    <numFmt numFmtId="196" formatCode="[$-FC19]d\ mmmm\ yyyy\ &quot;г.&quot;"/>
    <numFmt numFmtId="197" formatCode="0.0000%"/>
    <numFmt numFmtId="198" formatCode="0.0000000"/>
    <numFmt numFmtId="199" formatCode="#,##0.00_р_."/>
    <numFmt numFmtId="200" formatCode="#,##0.0_р_."/>
    <numFmt numFmtId="201" formatCode="#,##0_р_."/>
    <numFmt numFmtId="202" formatCode="_-* #,##0.0\ _₽_-;\-* #,##0.0\ _₽_-;_-* &quot;-&quot;??\ _₽_-;_-@_-"/>
    <numFmt numFmtId="203" formatCode="_-* #,##0\ _₽_-;\-* #,##0\ _₽_-;_-* &quot;-&quot;??\ _₽_-;_-@_-"/>
    <numFmt numFmtId="204" formatCode="#,##0.000_р_."/>
    <numFmt numFmtId="205" formatCode="#,##0.0000_р_."/>
    <numFmt numFmtId="206" formatCode="#,##0&quot;р.&quot;;\(#,##0\)&quot;р.&quot;"/>
    <numFmt numFmtId="207" formatCode="#,##0;\(#,##0\)"/>
  </numFmts>
  <fonts count="67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i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4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174" fontId="10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horizontal="center" vertical="center"/>
    </xf>
    <xf numFmtId="10" fontId="16" fillId="0" borderId="0" xfId="57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10" fillId="0" borderId="0" xfId="57" applyNumberFormat="1" applyFont="1" applyFill="1" applyBorder="1" applyAlignment="1">
      <alignment horizontal="center" vertical="center"/>
    </xf>
    <xf numFmtId="9" fontId="11" fillId="0" borderId="0" xfId="57" applyFont="1" applyFill="1" applyBorder="1" applyAlignment="1">
      <alignment horizontal="center" vertical="center"/>
    </xf>
    <xf numFmtId="0" fontId="2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172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indent="2"/>
    </xf>
    <xf numFmtId="4" fontId="16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75" fontId="15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indent="4"/>
    </xf>
    <xf numFmtId="0" fontId="16" fillId="0" borderId="10" xfId="0" applyFont="1" applyFill="1" applyBorder="1" applyAlignment="1">
      <alignment horizontal="left" vertical="center" wrapText="1" indent="1"/>
    </xf>
    <xf numFmtId="4" fontId="26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74" fontId="12" fillId="0" borderId="10" xfId="0" applyNumberFormat="1" applyFont="1" applyFill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 indent="2"/>
    </xf>
    <xf numFmtId="0" fontId="16" fillId="0" borderId="10" xfId="0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indent="2"/>
    </xf>
    <xf numFmtId="0" fontId="1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16" fontId="1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75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72" fontId="3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horizontal="center" vertical="center"/>
    </xf>
    <xf numFmtId="171" fontId="16" fillId="0" borderId="0" xfId="6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16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tabSelected="1"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0" sqref="B200"/>
    </sheetView>
  </sheetViews>
  <sheetFormatPr defaultColWidth="11.50390625" defaultRowHeight="18.75" customHeight="1"/>
  <cols>
    <col min="1" max="1" width="11.50390625" style="29" customWidth="1"/>
    <col min="2" max="2" width="68.00390625" style="29" customWidth="1"/>
    <col min="3" max="3" width="11.75390625" style="10" customWidth="1"/>
    <col min="4" max="4" width="17.00390625" style="29" customWidth="1"/>
    <col min="5" max="5" width="20.875" style="29" customWidth="1"/>
    <col min="6" max="6" width="20.50390625" style="1" customWidth="1"/>
    <col min="7" max="7" width="20.125" style="116" customWidth="1"/>
    <col min="8" max="8" width="11.25390625" style="122" customWidth="1"/>
    <col min="9" max="9" width="57.625" style="122" customWidth="1"/>
    <col min="10" max="10" width="22.625" style="1" customWidth="1"/>
    <col min="11" max="16384" width="11.50390625" style="1" customWidth="1"/>
  </cols>
  <sheetData>
    <row r="1" spans="1:3" ht="18.75" customHeight="1">
      <c r="A1" s="26" t="s">
        <v>113</v>
      </c>
      <c r="B1" s="27"/>
      <c r="C1" s="28"/>
    </row>
    <row r="2" spans="1:3" ht="18.75" customHeight="1">
      <c r="A2" s="26"/>
      <c r="B2" s="27"/>
      <c r="C2" s="28"/>
    </row>
    <row r="3" spans="1:5" ht="18.75" customHeight="1">
      <c r="A3" s="94" t="s">
        <v>290</v>
      </c>
      <c r="B3" s="94"/>
      <c r="C3" s="94"/>
      <c r="D3" s="94"/>
      <c r="E3" s="94"/>
    </row>
    <row r="4" spans="1:5" ht="18.75" customHeight="1">
      <c r="A4" s="46"/>
      <c r="B4" s="46"/>
      <c r="C4" s="46"/>
      <c r="D4" s="46"/>
      <c r="E4" s="46"/>
    </row>
    <row r="5" spans="1:9" s="6" customFormat="1" ht="102" customHeight="1">
      <c r="A5" s="53" t="s">
        <v>127</v>
      </c>
      <c r="B5" s="54" t="s">
        <v>32</v>
      </c>
      <c r="C5" s="87" t="s">
        <v>321</v>
      </c>
      <c r="D5" s="54" t="s">
        <v>278</v>
      </c>
      <c r="E5" s="54" t="s">
        <v>323</v>
      </c>
      <c r="F5" s="54" t="s">
        <v>320</v>
      </c>
      <c r="G5" s="54" t="s">
        <v>288</v>
      </c>
      <c r="H5" s="54" t="s">
        <v>322</v>
      </c>
      <c r="I5" s="54" t="s">
        <v>289</v>
      </c>
    </row>
    <row r="6" spans="1:9" s="41" customFormat="1" ht="14.25" customHeight="1">
      <c r="A6" s="55">
        <v>1</v>
      </c>
      <c r="B6" s="55">
        <v>2</v>
      </c>
      <c r="C6" s="55">
        <v>3</v>
      </c>
      <c r="D6" s="112">
        <v>4</v>
      </c>
      <c r="E6" s="113">
        <v>5</v>
      </c>
      <c r="F6" s="55">
        <v>6</v>
      </c>
      <c r="G6" s="112">
        <v>7</v>
      </c>
      <c r="H6" s="113">
        <v>8</v>
      </c>
      <c r="I6" s="55">
        <v>9</v>
      </c>
    </row>
    <row r="7" spans="1:10" s="2" customFormat="1" ht="39">
      <c r="A7" s="53" t="s">
        <v>25</v>
      </c>
      <c r="B7" s="57" t="s">
        <v>112</v>
      </c>
      <c r="C7" s="55" t="s">
        <v>35</v>
      </c>
      <c r="D7" s="58">
        <f>D8+D50+D57+D62+D65+D86</f>
        <v>1501802.06</v>
      </c>
      <c r="E7" s="58">
        <f>E8+E50+E57+E62+E65+E86</f>
        <v>1701991.55</v>
      </c>
      <c r="F7" s="58">
        <f>F8+F50+F57+F62+F65+F86</f>
        <v>1601896.9200000002</v>
      </c>
      <c r="G7" s="58">
        <f>G8+G50+G57+G62+G65+G86</f>
        <v>1612389.1999999997</v>
      </c>
      <c r="H7" s="125">
        <f>G7/F7-1</f>
        <v>0.006549909590936487</v>
      </c>
      <c r="I7" s="87" t="s">
        <v>291</v>
      </c>
      <c r="J7" s="129"/>
    </row>
    <row r="8" spans="1:9" s="4" customFormat="1" ht="19.5">
      <c r="A8" s="59" t="s">
        <v>0</v>
      </c>
      <c r="B8" s="60" t="s">
        <v>30</v>
      </c>
      <c r="C8" s="61" t="s">
        <v>35</v>
      </c>
      <c r="D8" s="62">
        <f>SUM(D9:D11,D49)</f>
        <v>425050.6</v>
      </c>
      <c r="E8" s="62">
        <f>SUM(E9:E11,E49)</f>
        <v>420520.33999999997</v>
      </c>
      <c r="F8" s="62">
        <f>SUM(F9:F11,F49)</f>
        <v>422785.48000000004</v>
      </c>
      <c r="G8" s="62">
        <f>SUM(G9:G11,G49)</f>
        <v>469610.46</v>
      </c>
      <c r="H8" s="126">
        <f>G8/F8-1</f>
        <v>0.11075351972825542</v>
      </c>
      <c r="I8" s="146"/>
    </row>
    <row r="9" spans="1:9" s="2" customFormat="1" ht="18.75">
      <c r="A9" s="48" t="s">
        <v>31</v>
      </c>
      <c r="B9" s="63" t="s">
        <v>120</v>
      </c>
      <c r="C9" s="12" t="s">
        <v>35</v>
      </c>
      <c r="D9" s="64">
        <v>27381.79</v>
      </c>
      <c r="E9" s="65">
        <v>25067.09</v>
      </c>
      <c r="F9" s="65">
        <f>ROUND((D9+E9)/2,2)</f>
        <v>26224.44</v>
      </c>
      <c r="G9" s="65">
        <v>44087.84</v>
      </c>
      <c r="H9" s="124">
        <f>G9/F9-1</f>
        <v>0.6811737447968382</v>
      </c>
      <c r="I9" s="147" t="s">
        <v>292</v>
      </c>
    </row>
    <row r="10" spans="1:9" ht="18.75">
      <c r="A10" s="48" t="s">
        <v>20</v>
      </c>
      <c r="B10" s="63" t="s">
        <v>125</v>
      </c>
      <c r="C10" s="12" t="s">
        <v>35</v>
      </c>
      <c r="D10" s="64">
        <v>99280.01</v>
      </c>
      <c r="E10" s="65">
        <v>83815.52</v>
      </c>
      <c r="F10" s="65">
        <f>ROUND((D10+E10)/2,2)</f>
        <v>91547.77</v>
      </c>
      <c r="G10" s="65">
        <v>112144.84</v>
      </c>
      <c r="H10" s="124">
        <f>G10/F10-1</f>
        <v>0.22498712967011647</v>
      </c>
      <c r="I10" s="147" t="s">
        <v>293</v>
      </c>
    </row>
    <row r="11" spans="1:9" s="2" customFormat="1" ht="37.5">
      <c r="A11" s="48" t="s">
        <v>21</v>
      </c>
      <c r="B11" s="63" t="s">
        <v>118</v>
      </c>
      <c r="C11" s="12" t="s">
        <v>35</v>
      </c>
      <c r="D11" s="111">
        <v>285002.54</v>
      </c>
      <c r="E11" s="58">
        <f>E14+E27</f>
        <v>300274.19999999995</v>
      </c>
      <c r="F11" s="58">
        <f>ROUND((D11+E11)/2,2)</f>
        <v>292638.37</v>
      </c>
      <c r="G11" s="58">
        <v>300045.09</v>
      </c>
      <c r="H11" s="125">
        <f>G11/F11-1</f>
        <v>0.025310146444569304</v>
      </c>
      <c r="I11" s="147" t="s">
        <v>294</v>
      </c>
    </row>
    <row r="12" spans="1:9" s="25" customFormat="1" ht="18.75">
      <c r="A12" s="66"/>
      <c r="B12" s="67" t="s">
        <v>84</v>
      </c>
      <c r="C12" s="68" t="s">
        <v>13</v>
      </c>
      <c r="D12" s="69">
        <v>19698.72</v>
      </c>
      <c r="E12" s="69">
        <f>E16+E19</f>
        <v>18247.98</v>
      </c>
      <c r="F12" s="69">
        <f>ROUND((D12+E12)/2,2)</f>
        <v>18973.35</v>
      </c>
      <c r="G12" s="69">
        <v>18525.234</v>
      </c>
      <c r="H12" s="72"/>
      <c r="I12" s="147"/>
    </row>
    <row r="13" spans="1:9" s="25" customFormat="1" ht="18.75">
      <c r="A13" s="66"/>
      <c r="B13" s="67" t="s">
        <v>82</v>
      </c>
      <c r="C13" s="68" t="s">
        <v>109</v>
      </c>
      <c r="D13" s="70">
        <f>D11/D12</f>
        <v>14.468074067756685</v>
      </c>
      <c r="E13" s="70">
        <f>E11/E12</f>
        <v>16.455202164842355</v>
      </c>
      <c r="F13" s="70">
        <f>F11/F12</f>
        <v>15.423653176692572</v>
      </c>
      <c r="G13" s="70">
        <f>G11/G12</f>
        <v>16.19656140375879</v>
      </c>
      <c r="H13" s="72"/>
      <c r="I13" s="147"/>
    </row>
    <row r="14" spans="1:9" s="107" customFormat="1" ht="36" hidden="1">
      <c r="A14" s="105"/>
      <c r="B14" s="73" t="s">
        <v>258</v>
      </c>
      <c r="C14" s="61" t="s">
        <v>29</v>
      </c>
      <c r="D14" s="106"/>
      <c r="E14" s="108">
        <f>E15+E18+E21+E24</f>
        <v>103681.4</v>
      </c>
      <c r="F14" s="62"/>
      <c r="G14" s="62"/>
      <c r="H14" s="59"/>
      <c r="I14" s="73"/>
    </row>
    <row r="15" spans="1:9" s="25" customFormat="1" ht="18" hidden="1">
      <c r="A15" s="66"/>
      <c r="B15" s="100" t="s">
        <v>259</v>
      </c>
      <c r="C15" s="12" t="s">
        <v>29</v>
      </c>
      <c r="D15" s="104"/>
      <c r="E15" s="69">
        <f>ROUND(E16*E17,2)+0.01</f>
        <v>68254.65999999999</v>
      </c>
      <c r="F15" s="98"/>
      <c r="G15" s="98"/>
      <c r="H15" s="72"/>
      <c r="I15" s="147"/>
    </row>
    <row r="16" spans="1:9" s="25" customFormat="1" ht="18" hidden="1">
      <c r="A16" s="66"/>
      <c r="B16" s="101" t="s">
        <v>272</v>
      </c>
      <c r="C16" s="68" t="s">
        <v>13</v>
      </c>
      <c r="D16" s="104"/>
      <c r="E16" s="70">
        <v>17149.41</v>
      </c>
      <c r="F16" s="65"/>
      <c r="G16" s="65"/>
      <c r="H16" s="72"/>
      <c r="I16" s="147"/>
    </row>
    <row r="17" spans="1:9" s="25" customFormat="1" ht="18" hidden="1">
      <c r="A17" s="66"/>
      <c r="B17" s="91" t="s">
        <v>82</v>
      </c>
      <c r="C17" s="68" t="s">
        <v>109</v>
      </c>
      <c r="D17" s="104"/>
      <c r="E17" s="69">
        <v>3.98</v>
      </c>
      <c r="F17" s="65"/>
      <c r="G17" s="65"/>
      <c r="H17" s="72"/>
      <c r="I17" s="147"/>
    </row>
    <row r="18" spans="1:9" s="25" customFormat="1" ht="18" hidden="1">
      <c r="A18" s="66"/>
      <c r="B18" s="100" t="s">
        <v>260</v>
      </c>
      <c r="C18" s="12" t="s">
        <v>29</v>
      </c>
      <c r="D18" s="104"/>
      <c r="E18" s="69">
        <f>ROUND(E19*E20,2)-0.03</f>
        <v>12117.199999999999</v>
      </c>
      <c r="F18" s="98"/>
      <c r="G18" s="98"/>
      <c r="H18" s="72"/>
      <c r="I18" s="147"/>
    </row>
    <row r="19" spans="1:9" s="25" customFormat="1" ht="18" hidden="1">
      <c r="A19" s="66"/>
      <c r="B19" s="101" t="s">
        <v>272</v>
      </c>
      <c r="C19" s="68" t="s">
        <v>13</v>
      </c>
      <c r="D19" s="104"/>
      <c r="E19" s="69">
        <v>1098.57</v>
      </c>
      <c r="F19" s="65"/>
      <c r="G19" s="65"/>
      <c r="H19" s="72"/>
      <c r="I19" s="147"/>
    </row>
    <row r="20" spans="1:9" s="25" customFormat="1" ht="18" hidden="1">
      <c r="A20" s="66"/>
      <c r="B20" s="91" t="s">
        <v>82</v>
      </c>
      <c r="C20" s="68" t="s">
        <v>109</v>
      </c>
      <c r="D20" s="104"/>
      <c r="E20" s="70">
        <v>11.03</v>
      </c>
      <c r="F20" s="65"/>
      <c r="G20" s="65"/>
      <c r="H20" s="72"/>
      <c r="I20" s="147"/>
    </row>
    <row r="21" spans="1:9" s="25" customFormat="1" ht="18" hidden="1">
      <c r="A21" s="66"/>
      <c r="B21" s="100" t="s">
        <v>261</v>
      </c>
      <c r="C21" s="12" t="s">
        <v>29</v>
      </c>
      <c r="D21" s="104"/>
      <c r="E21" s="69">
        <v>21484.74</v>
      </c>
      <c r="F21" s="65"/>
      <c r="G21" s="65"/>
      <c r="H21" s="72"/>
      <c r="I21" s="147"/>
    </row>
    <row r="22" spans="1:9" s="25" customFormat="1" ht="18" hidden="1">
      <c r="A22" s="66"/>
      <c r="B22" s="101" t="s">
        <v>272</v>
      </c>
      <c r="C22" s="68" t="s">
        <v>273</v>
      </c>
      <c r="D22" s="104"/>
      <c r="E22" s="69">
        <v>30.2</v>
      </c>
      <c r="F22" s="65"/>
      <c r="G22" s="65"/>
      <c r="H22" s="72"/>
      <c r="I22" s="147"/>
    </row>
    <row r="23" spans="1:9" s="25" customFormat="1" ht="18" hidden="1">
      <c r="A23" s="66"/>
      <c r="B23" s="91" t="s">
        <v>262</v>
      </c>
      <c r="C23" s="68" t="s">
        <v>109</v>
      </c>
      <c r="D23" s="104"/>
      <c r="E23" s="104">
        <v>711432</v>
      </c>
      <c r="F23" s="65"/>
      <c r="G23" s="65"/>
      <c r="H23" s="72"/>
      <c r="I23" s="147"/>
    </row>
    <row r="24" spans="1:9" s="25" customFormat="1" ht="36" hidden="1">
      <c r="A24" s="66"/>
      <c r="B24" s="100" t="s">
        <v>263</v>
      </c>
      <c r="C24" s="12" t="s">
        <v>29</v>
      </c>
      <c r="D24" s="104"/>
      <c r="E24" s="69">
        <f>ROUND(E25*E26,2)</f>
        <v>1824.8</v>
      </c>
      <c r="F24" s="98"/>
      <c r="G24" s="98"/>
      <c r="H24" s="72"/>
      <c r="I24" s="147"/>
    </row>
    <row r="25" spans="1:9" s="25" customFormat="1" ht="18" hidden="1">
      <c r="A25" s="66"/>
      <c r="B25" s="101" t="s">
        <v>272</v>
      </c>
      <c r="C25" s="68" t="s">
        <v>13</v>
      </c>
      <c r="D25" s="104"/>
      <c r="E25" s="69">
        <v>18247.98</v>
      </c>
      <c r="F25" s="65"/>
      <c r="G25" s="65"/>
      <c r="H25" s="72"/>
      <c r="I25" s="147"/>
    </row>
    <row r="26" spans="1:9" s="25" customFormat="1" ht="18" hidden="1">
      <c r="A26" s="66"/>
      <c r="B26" s="91" t="s">
        <v>262</v>
      </c>
      <c r="C26" s="68" t="s">
        <v>109</v>
      </c>
      <c r="D26" s="104"/>
      <c r="E26" s="104">
        <v>0.1</v>
      </c>
      <c r="F26" s="65"/>
      <c r="G26" s="65"/>
      <c r="H26" s="72"/>
      <c r="I26" s="147"/>
    </row>
    <row r="27" spans="1:9" s="107" customFormat="1" ht="18" hidden="1">
      <c r="A27" s="105"/>
      <c r="B27" s="102" t="s">
        <v>264</v>
      </c>
      <c r="C27" s="61" t="s">
        <v>29</v>
      </c>
      <c r="D27" s="106"/>
      <c r="E27" s="108">
        <f>E28+E31+E34+E37+E40+E43+E46</f>
        <v>196592.79999999996</v>
      </c>
      <c r="F27" s="62"/>
      <c r="G27" s="62"/>
      <c r="H27" s="59"/>
      <c r="I27" s="73"/>
    </row>
    <row r="28" spans="1:9" s="25" customFormat="1" ht="18" hidden="1">
      <c r="A28" s="66"/>
      <c r="B28" s="100" t="s">
        <v>265</v>
      </c>
      <c r="C28" s="68" t="s">
        <v>13</v>
      </c>
      <c r="D28" s="104"/>
      <c r="E28" s="69">
        <f>ROUND(E29*E30,2)-0.01</f>
        <v>48972.61</v>
      </c>
      <c r="F28" s="98"/>
      <c r="G28" s="98"/>
      <c r="H28" s="72"/>
      <c r="I28" s="147"/>
    </row>
    <row r="29" spans="1:9" s="25" customFormat="1" ht="18" hidden="1">
      <c r="A29" s="66"/>
      <c r="B29" s="101" t="s">
        <v>272</v>
      </c>
      <c r="C29" s="68" t="s">
        <v>13</v>
      </c>
      <c r="D29" s="104"/>
      <c r="E29" s="70">
        <v>17508.98</v>
      </c>
      <c r="F29" s="65"/>
      <c r="G29" s="65"/>
      <c r="H29" s="72"/>
      <c r="I29" s="147"/>
    </row>
    <row r="30" spans="1:9" s="25" customFormat="1" ht="18" hidden="1">
      <c r="A30" s="66"/>
      <c r="B30" s="91" t="s">
        <v>262</v>
      </c>
      <c r="C30" s="68" t="s">
        <v>109</v>
      </c>
      <c r="D30" s="103"/>
      <c r="E30" s="70">
        <v>2.797</v>
      </c>
      <c r="F30" s="65"/>
      <c r="G30" s="65"/>
      <c r="H30" s="72"/>
      <c r="I30" s="147"/>
    </row>
    <row r="31" spans="1:9" s="25" customFormat="1" ht="18" hidden="1">
      <c r="A31" s="66"/>
      <c r="B31" s="100" t="s">
        <v>266</v>
      </c>
      <c r="C31" s="12" t="s">
        <v>29</v>
      </c>
      <c r="D31" s="104"/>
      <c r="E31" s="69">
        <f>ROUND(E32*E33,2)</f>
        <v>140144.49</v>
      </c>
      <c r="F31" s="98"/>
      <c r="G31" s="98"/>
      <c r="H31" s="72"/>
      <c r="I31" s="147"/>
    </row>
    <row r="32" spans="1:9" s="25" customFormat="1" ht="18" hidden="1">
      <c r="A32" s="66"/>
      <c r="B32" s="101" t="s">
        <v>272</v>
      </c>
      <c r="C32" s="68" t="s">
        <v>13</v>
      </c>
      <c r="D32" s="104"/>
      <c r="E32" s="70">
        <v>18247.98</v>
      </c>
      <c r="F32" s="65"/>
      <c r="G32" s="65"/>
      <c r="H32" s="72"/>
      <c r="I32" s="147"/>
    </row>
    <row r="33" spans="1:9" s="25" customFormat="1" ht="18" hidden="1">
      <c r="A33" s="66"/>
      <c r="B33" s="91" t="s">
        <v>262</v>
      </c>
      <c r="C33" s="68" t="s">
        <v>109</v>
      </c>
      <c r="D33" s="104"/>
      <c r="E33" s="70">
        <v>7.68</v>
      </c>
      <c r="F33" s="65"/>
      <c r="G33" s="65"/>
      <c r="H33" s="72"/>
      <c r="I33" s="147"/>
    </row>
    <row r="34" spans="1:9" s="25" customFormat="1" ht="18" hidden="1">
      <c r="A34" s="66"/>
      <c r="B34" s="100" t="s">
        <v>267</v>
      </c>
      <c r="C34" s="12" t="s">
        <v>29</v>
      </c>
      <c r="D34" s="104"/>
      <c r="E34" s="69">
        <f>ROUND(E35*E36,2)</f>
        <v>27.57</v>
      </c>
      <c r="F34" s="98"/>
      <c r="G34" s="98"/>
      <c r="H34" s="72"/>
      <c r="I34" s="147"/>
    </row>
    <row r="35" spans="1:9" s="25" customFormat="1" ht="18" hidden="1">
      <c r="A35" s="66"/>
      <c r="B35" s="101" t="s">
        <v>272</v>
      </c>
      <c r="C35" s="68" t="s">
        <v>13</v>
      </c>
      <c r="D35" s="104"/>
      <c r="E35" s="70">
        <v>28.42</v>
      </c>
      <c r="F35" s="65"/>
      <c r="G35" s="65"/>
      <c r="H35" s="72"/>
      <c r="I35" s="147"/>
    </row>
    <row r="36" spans="1:9" s="25" customFormat="1" ht="18" hidden="1">
      <c r="A36" s="66"/>
      <c r="B36" s="91" t="s">
        <v>262</v>
      </c>
      <c r="C36" s="68" t="s">
        <v>109</v>
      </c>
      <c r="D36" s="104"/>
      <c r="E36" s="70">
        <v>0.97</v>
      </c>
      <c r="F36" s="65"/>
      <c r="G36" s="65"/>
      <c r="H36" s="72"/>
      <c r="I36" s="147"/>
    </row>
    <row r="37" spans="1:9" s="25" customFormat="1" ht="18" hidden="1">
      <c r="A37" s="66"/>
      <c r="B37" s="100" t="s">
        <v>268</v>
      </c>
      <c r="C37" s="12" t="s">
        <v>29</v>
      </c>
      <c r="D37" s="104"/>
      <c r="E37" s="69">
        <f>ROUND(E38*E39,2)</f>
        <v>0.46</v>
      </c>
      <c r="F37" s="98"/>
      <c r="G37" s="98"/>
      <c r="H37" s="72"/>
      <c r="I37" s="147"/>
    </row>
    <row r="38" spans="1:9" s="25" customFormat="1" ht="18" hidden="1">
      <c r="A38" s="66"/>
      <c r="B38" s="101" t="s">
        <v>272</v>
      </c>
      <c r="C38" s="68" t="s">
        <v>13</v>
      </c>
      <c r="D38" s="104"/>
      <c r="E38" s="70">
        <v>0.21</v>
      </c>
      <c r="F38" s="65"/>
      <c r="G38" s="65"/>
      <c r="H38" s="72"/>
      <c r="I38" s="147"/>
    </row>
    <row r="39" spans="1:9" s="25" customFormat="1" ht="18" hidden="1">
      <c r="A39" s="66"/>
      <c r="B39" s="91" t="s">
        <v>262</v>
      </c>
      <c r="C39" s="68" t="s">
        <v>109</v>
      </c>
      <c r="D39" s="104"/>
      <c r="E39" s="70">
        <v>2.2</v>
      </c>
      <c r="F39" s="65"/>
      <c r="G39" s="65"/>
      <c r="H39" s="72"/>
      <c r="I39" s="147"/>
    </row>
    <row r="40" spans="1:9" s="25" customFormat="1" ht="18" hidden="1">
      <c r="A40" s="66"/>
      <c r="B40" s="100" t="s">
        <v>269</v>
      </c>
      <c r="C40" s="12" t="s">
        <v>29</v>
      </c>
      <c r="D40" s="104"/>
      <c r="E40" s="69">
        <f>ROUND(E41*E42,2)</f>
        <v>316.86</v>
      </c>
      <c r="F40" s="98"/>
      <c r="G40" s="98"/>
      <c r="H40" s="72"/>
      <c r="I40" s="147"/>
    </row>
    <row r="41" spans="1:9" s="25" customFormat="1" ht="18" hidden="1">
      <c r="A41" s="66"/>
      <c r="B41" s="101" t="s">
        <v>272</v>
      </c>
      <c r="C41" s="68" t="s">
        <v>13</v>
      </c>
      <c r="D41" s="104"/>
      <c r="E41" s="70">
        <v>990.19</v>
      </c>
      <c r="F41" s="65"/>
      <c r="G41" s="65"/>
      <c r="H41" s="72"/>
      <c r="I41" s="147"/>
    </row>
    <row r="42" spans="1:9" s="25" customFormat="1" ht="18" hidden="1">
      <c r="A42" s="66"/>
      <c r="B42" s="91" t="s">
        <v>262</v>
      </c>
      <c r="C42" s="68" t="s">
        <v>109</v>
      </c>
      <c r="D42" s="104"/>
      <c r="E42" s="70">
        <v>0.32</v>
      </c>
      <c r="F42" s="65"/>
      <c r="G42" s="65"/>
      <c r="H42" s="72"/>
      <c r="I42" s="147"/>
    </row>
    <row r="43" spans="1:9" s="25" customFormat="1" ht="18" hidden="1">
      <c r="A43" s="66"/>
      <c r="B43" s="100" t="s">
        <v>270</v>
      </c>
      <c r="C43" s="12" t="s">
        <v>29</v>
      </c>
      <c r="D43" s="104"/>
      <c r="E43" s="69">
        <f>E44*E45</f>
        <v>0</v>
      </c>
      <c r="F43" s="65"/>
      <c r="G43" s="65"/>
      <c r="H43" s="72"/>
      <c r="I43" s="147"/>
    </row>
    <row r="44" spans="1:9" s="25" customFormat="1" ht="18" hidden="1">
      <c r="A44" s="66"/>
      <c r="B44" s="101" t="s">
        <v>272</v>
      </c>
      <c r="C44" s="68" t="s">
        <v>13</v>
      </c>
      <c r="D44" s="104"/>
      <c r="E44" s="70"/>
      <c r="F44" s="65"/>
      <c r="G44" s="65"/>
      <c r="H44" s="72"/>
      <c r="I44" s="147"/>
    </row>
    <row r="45" spans="1:9" s="25" customFormat="1" ht="18" hidden="1">
      <c r="A45" s="66"/>
      <c r="B45" s="91" t="s">
        <v>262</v>
      </c>
      <c r="C45" s="68" t="s">
        <v>109</v>
      </c>
      <c r="D45" s="104"/>
      <c r="E45" s="70">
        <f>D45</f>
        <v>0</v>
      </c>
      <c r="F45" s="65"/>
      <c r="G45" s="65"/>
      <c r="H45" s="72"/>
      <c r="I45" s="147"/>
    </row>
    <row r="46" spans="1:9" s="25" customFormat="1" ht="18" hidden="1">
      <c r="A46" s="66"/>
      <c r="B46" s="100" t="s">
        <v>271</v>
      </c>
      <c r="C46" s="12" t="s">
        <v>29</v>
      </c>
      <c r="D46" s="104"/>
      <c r="E46" s="69">
        <f>ROUND(E47*E48,2)</f>
        <v>7130.81</v>
      </c>
      <c r="F46" s="98"/>
      <c r="G46" s="98"/>
      <c r="H46" s="72"/>
      <c r="I46" s="147"/>
    </row>
    <row r="47" spans="1:9" s="25" customFormat="1" ht="18" hidden="1">
      <c r="A47" s="66"/>
      <c r="B47" s="101" t="s">
        <v>272</v>
      </c>
      <c r="C47" s="68" t="s">
        <v>13</v>
      </c>
      <c r="D47" s="104"/>
      <c r="E47" s="70">
        <v>12294.5</v>
      </c>
      <c r="F47" s="65"/>
      <c r="G47" s="65"/>
      <c r="H47" s="72"/>
      <c r="I47" s="147"/>
    </row>
    <row r="48" spans="1:9" s="25" customFormat="1" ht="18" hidden="1">
      <c r="A48" s="66"/>
      <c r="B48" s="91" t="s">
        <v>262</v>
      </c>
      <c r="C48" s="68" t="s">
        <v>109</v>
      </c>
      <c r="D48" s="104"/>
      <c r="E48" s="70">
        <v>0.58</v>
      </c>
      <c r="F48" s="65"/>
      <c r="G48" s="65"/>
      <c r="H48" s="72"/>
      <c r="I48" s="147"/>
    </row>
    <row r="49" spans="1:9" ht="37.5">
      <c r="A49" s="48" t="s">
        <v>52</v>
      </c>
      <c r="B49" s="63" t="s">
        <v>119</v>
      </c>
      <c r="C49" s="12" t="s">
        <v>35</v>
      </c>
      <c r="D49" s="64">
        <v>13386.26</v>
      </c>
      <c r="E49" s="65">
        <v>11363.53</v>
      </c>
      <c r="F49" s="65">
        <f>ROUND((D49+E49)/2,2)</f>
        <v>12374.9</v>
      </c>
      <c r="G49" s="65">
        <v>13332.69</v>
      </c>
      <c r="H49" s="124">
        <f>G49/F49-1</f>
        <v>0.07739779715391637</v>
      </c>
      <c r="I49" s="147" t="s">
        <v>295</v>
      </c>
    </row>
    <row r="50" spans="1:9" s="4" customFormat="1" ht="37.5">
      <c r="A50" s="71" t="s">
        <v>26</v>
      </c>
      <c r="B50" s="60" t="s">
        <v>53</v>
      </c>
      <c r="C50" s="61" t="s">
        <v>35</v>
      </c>
      <c r="D50" s="62">
        <f>SUM(D51:D52)</f>
        <v>697700.04</v>
      </c>
      <c r="E50" s="62">
        <f>SUM(E51:E52)</f>
        <v>759094.74</v>
      </c>
      <c r="F50" s="62">
        <f>SUM(F51:F52)</f>
        <v>728397.4</v>
      </c>
      <c r="G50" s="62">
        <f>SUM(G51:G52)</f>
        <v>746247.1599999999</v>
      </c>
      <c r="H50" s="126">
        <f aca="true" t="shared" si="0" ref="H50:H57">G50/F50-1</f>
        <v>0.02450552404497852</v>
      </c>
      <c r="I50" s="147" t="s">
        <v>296</v>
      </c>
    </row>
    <row r="51" spans="1:9" s="2" customFormat="1" ht="18.75">
      <c r="A51" s="99" t="s">
        <v>54</v>
      </c>
      <c r="B51" s="63" t="s">
        <v>124</v>
      </c>
      <c r="C51" s="12" t="s">
        <v>35</v>
      </c>
      <c r="D51" s="64">
        <v>635370.06</v>
      </c>
      <c r="E51" s="65">
        <v>681783.15</v>
      </c>
      <c r="F51" s="65">
        <f>ROUND((D51+E51)/2,2)</f>
        <v>658576.61</v>
      </c>
      <c r="G51" s="65">
        <v>672580.58</v>
      </c>
      <c r="H51" s="124">
        <f t="shared" si="0"/>
        <v>0.02126399539151569</v>
      </c>
      <c r="I51" s="147"/>
    </row>
    <row r="52" spans="1:9" s="2" customFormat="1" ht="18.75">
      <c r="A52" s="72" t="s">
        <v>55</v>
      </c>
      <c r="B52" s="63" t="s">
        <v>197</v>
      </c>
      <c r="C52" s="12" t="s">
        <v>35</v>
      </c>
      <c r="D52" s="64">
        <v>62329.98</v>
      </c>
      <c r="E52" s="65">
        <f>SUM(E53:E56)</f>
        <v>77311.59</v>
      </c>
      <c r="F52" s="65">
        <f>ROUND((D52+E52)/2,2)</f>
        <v>69820.79</v>
      </c>
      <c r="G52" s="65">
        <f>SUM(G53:G56)</f>
        <v>73666.58</v>
      </c>
      <c r="H52" s="124">
        <f t="shared" si="0"/>
        <v>0.05508087204398593</v>
      </c>
      <c r="I52" s="147"/>
    </row>
    <row r="53" spans="1:9" s="2" customFormat="1" ht="18" hidden="1">
      <c r="A53" s="72"/>
      <c r="B53" s="63" t="s">
        <v>199</v>
      </c>
      <c r="C53" s="12" t="s">
        <v>29</v>
      </c>
      <c r="D53" s="64"/>
      <c r="E53" s="65">
        <v>35665.8</v>
      </c>
      <c r="F53" s="65"/>
      <c r="G53" s="65">
        <v>34684.62</v>
      </c>
      <c r="H53" s="124"/>
      <c r="I53" s="147"/>
    </row>
    <row r="54" spans="1:9" s="2" customFormat="1" ht="18" hidden="1">
      <c r="A54" s="72"/>
      <c r="B54" s="63" t="s">
        <v>198</v>
      </c>
      <c r="C54" s="12" t="s">
        <v>29</v>
      </c>
      <c r="D54" s="64"/>
      <c r="E54" s="65">
        <v>20683.6</v>
      </c>
      <c r="F54" s="65"/>
      <c r="G54" s="65">
        <v>19461.86</v>
      </c>
      <c r="H54" s="124"/>
      <c r="I54" s="147"/>
    </row>
    <row r="55" spans="1:9" s="2" customFormat="1" ht="18" hidden="1">
      <c r="A55" s="72"/>
      <c r="B55" s="63" t="s">
        <v>194</v>
      </c>
      <c r="C55" s="12" t="s">
        <v>29</v>
      </c>
      <c r="D55" s="64"/>
      <c r="E55" s="65">
        <v>20453.49</v>
      </c>
      <c r="F55" s="65"/>
      <c r="G55" s="65">
        <v>18924.83</v>
      </c>
      <c r="H55" s="124"/>
      <c r="I55" s="147"/>
    </row>
    <row r="56" spans="1:9" s="2" customFormat="1" ht="36" hidden="1">
      <c r="A56" s="72"/>
      <c r="B56" s="74" t="s">
        <v>243</v>
      </c>
      <c r="C56" s="12" t="s">
        <v>29</v>
      </c>
      <c r="D56" s="64"/>
      <c r="E56" s="65">
        <v>508.7</v>
      </c>
      <c r="F56" s="65"/>
      <c r="G56" s="65">
        <v>595.27</v>
      </c>
      <c r="H56" s="124"/>
      <c r="I56" s="147"/>
    </row>
    <row r="57" spans="1:9" s="4" customFormat="1" ht="19.5">
      <c r="A57" s="71" t="s">
        <v>27</v>
      </c>
      <c r="B57" s="60" t="s">
        <v>201</v>
      </c>
      <c r="C57" s="61" t="s">
        <v>35</v>
      </c>
      <c r="D57" s="62">
        <f>SUM(D59:D61)</f>
        <v>102641.84</v>
      </c>
      <c r="E57" s="62">
        <f>SUM(E59:E61)</f>
        <v>372689.16000000003</v>
      </c>
      <c r="F57" s="62">
        <f>SUM(F59:F61)</f>
        <v>237665.50999999998</v>
      </c>
      <c r="G57" s="62">
        <f>SUM(G59:G61)</f>
        <v>136765.85</v>
      </c>
      <c r="H57" s="126">
        <f t="shared" si="0"/>
        <v>-0.42454481510590236</v>
      </c>
      <c r="I57" s="73"/>
    </row>
    <row r="58" spans="1:9" ht="18.75">
      <c r="A58" s="48"/>
      <c r="B58" s="74" t="s">
        <v>90</v>
      </c>
      <c r="C58" s="12" t="s">
        <v>35</v>
      </c>
      <c r="D58" s="64"/>
      <c r="E58" s="65"/>
      <c r="F58" s="65"/>
      <c r="G58" s="65"/>
      <c r="H58" s="72"/>
      <c r="I58" s="147"/>
    </row>
    <row r="59" spans="1:9" ht="37.5" customHeight="1">
      <c r="A59" s="48" t="s">
        <v>56</v>
      </c>
      <c r="B59" s="74" t="s">
        <v>200</v>
      </c>
      <c r="C59" s="12" t="s">
        <v>35</v>
      </c>
      <c r="D59" s="64"/>
      <c r="E59" s="65">
        <v>240665.21</v>
      </c>
      <c r="F59" s="65">
        <f>ROUND((D59+E59)/2,2)</f>
        <v>120332.61</v>
      </c>
      <c r="G59" s="65">
        <v>15299.7</v>
      </c>
      <c r="H59" s="124">
        <f aca="true" t="shared" si="1" ref="H59:H75">G59/F59-1</f>
        <v>-0.8728549143910367</v>
      </c>
      <c r="I59" s="147" t="s">
        <v>314</v>
      </c>
    </row>
    <row r="60" spans="1:9" ht="27.75" customHeight="1">
      <c r="A60" s="48" t="s">
        <v>57</v>
      </c>
      <c r="B60" s="63" t="s">
        <v>284</v>
      </c>
      <c r="C60" s="12" t="s">
        <v>35</v>
      </c>
      <c r="D60" s="64">
        <v>102641.84</v>
      </c>
      <c r="E60" s="65">
        <v>129416.74</v>
      </c>
      <c r="F60" s="65">
        <f>ROUND((D60+E60)/2,2)</f>
        <v>116029.29</v>
      </c>
      <c r="G60" s="65">
        <v>118858.95</v>
      </c>
      <c r="H60" s="124">
        <f t="shared" si="1"/>
        <v>0.02438746285528426</v>
      </c>
      <c r="I60" s="147" t="s">
        <v>297</v>
      </c>
    </row>
    <row r="61" spans="1:9" ht="18.75">
      <c r="A61" s="48" t="s">
        <v>202</v>
      </c>
      <c r="B61" s="63" t="s">
        <v>285</v>
      </c>
      <c r="C61" s="12" t="s">
        <v>35</v>
      </c>
      <c r="D61" s="64"/>
      <c r="E61" s="65">
        <v>2607.21</v>
      </c>
      <c r="F61" s="65">
        <f>ROUND((D61+E61)/2,2)</f>
        <v>1303.61</v>
      </c>
      <c r="G61" s="65">
        <v>2607.2</v>
      </c>
      <c r="H61" s="124">
        <f t="shared" si="1"/>
        <v>0.9999846579882019</v>
      </c>
      <c r="I61" s="147"/>
    </row>
    <row r="62" spans="1:9" s="3" customFormat="1" ht="39">
      <c r="A62" s="71" t="s">
        <v>28</v>
      </c>
      <c r="B62" s="73" t="s">
        <v>128</v>
      </c>
      <c r="C62" s="61" t="s">
        <v>35</v>
      </c>
      <c r="D62" s="62">
        <f>D63+D64</f>
        <v>136167.64</v>
      </c>
      <c r="E62" s="62">
        <f>E63+E64</f>
        <v>27041.660000000003</v>
      </c>
      <c r="F62" s="62">
        <f>F63+F64</f>
        <v>81604.66</v>
      </c>
      <c r="G62" s="62">
        <f>G63+G64</f>
        <v>133522.16999999998</v>
      </c>
      <c r="H62" s="126">
        <f>G62/F62-1</f>
        <v>0.6362076626506377</v>
      </c>
      <c r="I62" s="73"/>
    </row>
    <row r="63" spans="1:9" s="2" customFormat="1" ht="37.5">
      <c r="A63" s="48" t="s">
        <v>58</v>
      </c>
      <c r="B63" s="63" t="s">
        <v>111</v>
      </c>
      <c r="C63" s="12" t="s">
        <v>35</v>
      </c>
      <c r="D63" s="64">
        <v>92813.77</v>
      </c>
      <c r="E63" s="65">
        <v>8009.26</v>
      </c>
      <c r="F63" s="65">
        <f>ROUND((D63+E63)/2,2)</f>
        <v>50411.52</v>
      </c>
      <c r="G63" s="65">
        <v>117329.67</v>
      </c>
      <c r="H63" s="124">
        <f t="shared" si="1"/>
        <v>1.3274376571069473</v>
      </c>
      <c r="I63" s="147" t="s">
        <v>324</v>
      </c>
    </row>
    <row r="64" spans="1:9" s="2" customFormat="1" ht="24" customHeight="1">
      <c r="A64" s="72" t="s">
        <v>59</v>
      </c>
      <c r="B64" s="74" t="s">
        <v>110</v>
      </c>
      <c r="C64" s="12" t="s">
        <v>35</v>
      </c>
      <c r="D64" s="64">
        <v>43353.87</v>
      </c>
      <c r="E64" s="65">
        <v>19032.4</v>
      </c>
      <c r="F64" s="65">
        <f>ROUND((D64+E64)/2,2)</f>
        <v>31193.14</v>
      </c>
      <c r="G64" s="65">
        <v>16192.5</v>
      </c>
      <c r="H64" s="124">
        <f t="shared" si="1"/>
        <v>-0.48089547894184426</v>
      </c>
      <c r="I64" s="147" t="s">
        <v>298</v>
      </c>
    </row>
    <row r="65" spans="1:9" s="3" customFormat="1" ht="39">
      <c r="A65" s="59" t="s">
        <v>1</v>
      </c>
      <c r="B65" s="73" t="s">
        <v>3</v>
      </c>
      <c r="C65" s="61" t="s">
        <v>35</v>
      </c>
      <c r="D65" s="62">
        <f>SUM(D66:D85)</f>
        <v>80195.31999999999</v>
      </c>
      <c r="E65" s="62">
        <f>SUM(E66:E83)</f>
        <v>69199.73000000001</v>
      </c>
      <c r="F65" s="62">
        <f>SUM(F66:F85)</f>
        <v>74697.56999999999</v>
      </c>
      <c r="G65" s="62">
        <f>SUM(G66:G85)</f>
        <v>54511.909999999996</v>
      </c>
      <c r="H65" s="126">
        <f>G65/F65-1</f>
        <v>-0.2702318161086097</v>
      </c>
      <c r="I65" s="73"/>
    </row>
    <row r="66" spans="1:9" s="3" customFormat="1" ht="22.5" customHeight="1">
      <c r="A66" s="88" t="s">
        <v>92</v>
      </c>
      <c r="B66" s="74" t="s">
        <v>146</v>
      </c>
      <c r="C66" s="89" t="s">
        <v>35</v>
      </c>
      <c r="D66" s="65">
        <v>1342.06</v>
      </c>
      <c r="E66" s="65">
        <v>1259.71</v>
      </c>
      <c r="F66" s="65">
        <f>ROUND((D66+E66)/2,2)</f>
        <v>1300.89</v>
      </c>
      <c r="G66" s="65">
        <v>1170.52</v>
      </c>
      <c r="H66" s="124">
        <f t="shared" si="1"/>
        <v>-0.10021600596514701</v>
      </c>
      <c r="I66" s="147" t="s">
        <v>298</v>
      </c>
    </row>
    <row r="67" spans="1:9" s="3" customFormat="1" ht="21" customHeight="1">
      <c r="A67" s="88"/>
      <c r="B67" s="74" t="s">
        <v>279</v>
      </c>
      <c r="C67" s="89" t="s">
        <v>35</v>
      </c>
      <c r="D67" s="65">
        <v>129.71</v>
      </c>
      <c r="E67" s="65"/>
      <c r="F67" s="65">
        <f>ROUND((D67+E67)/2,2)</f>
        <v>64.86</v>
      </c>
      <c r="G67" s="65">
        <v>46.36</v>
      </c>
      <c r="H67" s="124">
        <f t="shared" si="1"/>
        <v>-0.2852297255627505</v>
      </c>
      <c r="I67" s="147" t="s">
        <v>298</v>
      </c>
    </row>
    <row r="68" spans="1:9" s="3" customFormat="1" ht="37.5">
      <c r="A68" s="88" t="s">
        <v>93</v>
      </c>
      <c r="B68" s="74" t="s">
        <v>244</v>
      </c>
      <c r="C68" s="89" t="s">
        <v>35</v>
      </c>
      <c r="D68" s="65">
        <v>37000</v>
      </c>
      <c r="E68" s="65">
        <v>34000</v>
      </c>
      <c r="F68" s="65">
        <f>ROUND((D68+E68)/2,2)</f>
        <v>35500</v>
      </c>
      <c r="G68" s="65">
        <v>13481.89</v>
      </c>
      <c r="H68" s="124">
        <f t="shared" si="1"/>
        <v>-0.6202284507042254</v>
      </c>
      <c r="I68" s="147" t="s">
        <v>299</v>
      </c>
    </row>
    <row r="69" spans="1:9" s="3" customFormat="1" ht="18.75">
      <c r="A69" s="88" t="s">
        <v>94</v>
      </c>
      <c r="B69" s="74" t="s">
        <v>131</v>
      </c>
      <c r="C69" s="89" t="s">
        <v>35</v>
      </c>
      <c r="D69" s="65">
        <v>125.26</v>
      </c>
      <c r="E69" s="65">
        <v>98.85</v>
      </c>
      <c r="F69" s="65">
        <f>ROUND((D69+E69)/2,2)</f>
        <v>112.06</v>
      </c>
      <c r="G69" s="65">
        <v>192.26</v>
      </c>
      <c r="H69" s="124">
        <f t="shared" si="1"/>
        <v>0.7156880242727108</v>
      </c>
      <c r="I69" s="147" t="s">
        <v>300</v>
      </c>
    </row>
    <row r="70" spans="1:9" s="3" customFormat="1" ht="18.75">
      <c r="A70" s="88" t="s">
        <v>95</v>
      </c>
      <c r="B70" s="74" t="s">
        <v>130</v>
      </c>
      <c r="C70" s="89" t="s">
        <v>35</v>
      </c>
      <c r="D70" s="65">
        <v>958.08</v>
      </c>
      <c r="E70" s="65">
        <v>699.98</v>
      </c>
      <c r="F70" s="65">
        <f>ROUND((D70+E70)/2,2)</f>
        <v>829.03</v>
      </c>
      <c r="G70" s="65">
        <v>1541.06</v>
      </c>
      <c r="H70" s="124">
        <f t="shared" si="1"/>
        <v>0.8588712109332592</v>
      </c>
      <c r="I70" s="147" t="s">
        <v>300</v>
      </c>
    </row>
    <row r="71" spans="1:9" s="3" customFormat="1" ht="21" customHeight="1">
      <c r="A71" s="88" t="s">
        <v>96</v>
      </c>
      <c r="B71" s="74" t="s">
        <v>245</v>
      </c>
      <c r="C71" s="89" t="s">
        <v>35</v>
      </c>
      <c r="D71" s="65"/>
      <c r="E71" s="65">
        <v>457</v>
      </c>
      <c r="F71" s="65">
        <f>ROUND((D71+E71)/2,2)</f>
        <v>228.5</v>
      </c>
      <c r="G71" s="65"/>
      <c r="H71" s="124">
        <f>G71/F71-1</f>
        <v>-1</v>
      </c>
      <c r="I71" s="147" t="s">
        <v>298</v>
      </c>
    </row>
    <row r="72" spans="1:9" s="3" customFormat="1" ht="37.5" customHeight="1">
      <c r="A72" s="88" t="s">
        <v>97</v>
      </c>
      <c r="B72" s="74" t="s">
        <v>85</v>
      </c>
      <c r="C72" s="89" t="s">
        <v>35</v>
      </c>
      <c r="D72" s="65">
        <v>565.24</v>
      </c>
      <c r="E72" s="65">
        <v>191.11</v>
      </c>
      <c r="F72" s="65">
        <f>ROUND((D72+E72)/2,2)</f>
        <v>378.18</v>
      </c>
      <c r="G72" s="65">
        <v>449.15</v>
      </c>
      <c r="H72" s="124">
        <f t="shared" si="1"/>
        <v>0.18766195991326873</v>
      </c>
      <c r="I72" s="147" t="s">
        <v>300</v>
      </c>
    </row>
    <row r="73" spans="1:9" s="3" customFormat="1" ht="31.5" customHeight="1">
      <c r="A73" s="88" t="s">
        <v>98</v>
      </c>
      <c r="B73" s="74" t="s">
        <v>91</v>
      </c>
      <c r="C73" s="89" t="s">
        <v>35</v>
      </c>
      <c r="D73" s="65">
        <v>455.36</v>
      </c>
      <c r="E73" s="65">
        <v>420</v>
      </c>
      <c r="F73" s="65">
        <f>ROUND((D73+E73)/2,2)</f>
        <v>437.68</v>
      </c>
      <c r="G73" s="65"/>
      <c r="H73" s="124">
        <f>G73/F73-1</f>
        <v>-1</v>
      </c>
      <c r="I73" s="147" t="s">
        <v>298</v>
      </c>
    </row>
    <row r="74" spans="1:9" s="3" customFormat="1" ht="21" customHeight="1">
      <c r="A74" s="88" t="s">
        <v>99</v>
      </c>
      <c r="B74" s="74" t="s">
        <v>132</v>
      </c>
      <c r="C74" s="89" t="s">
        <v>35</v>
      </c>
      <c r="D74" s="65">
        <v>285.35</v>
      </c>
      <c r="E74" s="65">
        <v>261.82</v>
      </c>
      <c r="F74" s="65">
        <f>ROUND((D74+E74)/2,2)</f>
        <v>273.59</v>
      </c>
      <c r="G74" s="65">
        <v>112.48</v>
      </c>
      <c r="H74" s="124">
        <f t="shared" si="1"/>
        <v>-0.5888738623487699</v>
      </c>
      <c r="I74" s="147" t="s">
        <v>298</v>
      </c>
    </row>
    <row r="75" spans="1:9" s="3" customFormat="1" ht="21" customHeight="1">
      <c r="A75" s="88" t="s">
        <v>100</v>
      </c>
      <c r="B75" s="74" t="s">
        <v>246</v>
      </c>
      <c r="C75" s="89" t="s">
        <v>35</v>
      </c>
      <c r="D75" s="65"/>
      <c r="E75" s="65">
        <v>299</v>
      </c>
      <c r="F75" s="65">
        <f>ROUND((D75+E75)/2,2)</f>
        <v>149.5</v>
      </c>
      <c r="G75" s="65"/>
      <c r="H75" s="124">
        <f t="shared" si="1"/>
        <v>-1</v>
      </c>
      <c r="I75" s="147" t="s">
        <v>298</v>
      </c>
    </row>
    <row r="76" spans="1:9" s="3" customFormat="1" ht="36" hidden="1">
      <c r="A76" s="88" t="s">
        <v>101</v>
      </c>
      <c r="B76" s="74" t="s">
        <v>203</v>
      </c>
      <c r="C76" s="89" t="s">
        <v>35</v>
      </c>
      <c r="D76" s="65"/>
      <c r="E76" s="65"/>
      <c r="F76" s="65">
        <f>ROUND((D76+E76)/2,2)</f>
        <v>0</v>
      </c>
      <c r="G76" s="65"/>
      <c r="H76" s="124"/>
      <c r="I76" s="147"/>
    </row>
    <row r="77" spans="1:10" s="3" customFormat="1" ht="37.5">
      <c r="A77" s="88" t="s">
        <v>102</v>
      </c>
      <c r="B77" s="74" t="s">
        <v>204</v>
      </c>
      <c r="C77" s="89" t="s">
        <v>35</v>
      </c>
      <c r="D77" s="65">
        <v>803.66</v>
      </c>
      <c r="E77" s="65"/>
      <c r="F77" s="65">
        <f>ROUND((D77+E77)/2,2)</f>
        <v>401.83</v>
      </c>
      <c r="G77" s="65">
        <v>626.98</v>
      </c>
      <c r="H77" s="124">
        <f aca="true" t="shared" si="2" ref="H77:H82">G77/F77-1</f>
        <v>0.5603115745464502</v>
      </c>
      <c r="I77" s="147" t="s">
        <v>301</v>
      </c>
      <c r="J77" s="128"/>
    </row>
    <row r="78" spans="1:9" s="3" customFormat="1" ht="18.75">
      <c r="A78" s="88" t="s">
        <v>103</v>
      </c>
      <c r="B78" s="74" t="s">
        <v>181</v>
      </c>
      <c r="C78" s="89" t="s">
        <v>35</v>
      </c>
      <c r="D78" s="65">
        <v>35200</v>
      </c>
      <c r="E78" s="65">
        <v>30640.77</v>
      </c>
      <c r="F78" s="65">
        <f>ROUND((D78+E78)/2,2)</f>
        <v>32920.39</v>
      </c>
      <c r="G78" s="65">
        <v>35587.5</v>
      </c>
      <c r="H78" s="124">
        <f t="shared" si="2"/>
        <v>0.08101696243574263</v>
      </c>
      <c r="I78" s="147" t="s">
        <v>300</v>
      </c>
    </row>
    <row r="79" spans="1:9" s="3" customFormat="1" ht="37.5">
      <c r="A79" s="88" t="s">
        <v>104</v>
      </c>
      <c r="B79" s="74" t="s">
        <v>107</v>
      </c>
      <c r="C79" s="89" t="s">
        <v>35</v>
      </c>
      <c r="D79" s="65">
        <v>1380</v>
      </c>
      <c r="E79" s="65">
        <v>844</v>
      </c>
      <c r="F79" s="65">
        <f>ROUND((D79+E79)/2,2)</f>
        <v>1112</v>
      </c>
      <c r="G79" s="65">
        <v>1200</v>
      </c>
      <c r="H79" s="124">
        <f t="shared" si="2"/>
        <v>0.07913669064748197</v>
      </c>
      <c r="I79" s="147" t="s">
        <v>302</v>
      </c>
    </row>
    <row r="80" spans="1:9" s="3" customFormat="1" ht="25.5" customHeight="1">
      <c r="A80" s="88" t="s">
        <v>105</v>
      </c>
      <c r="B80" s="74" t="s">
        <v>189</v>
      </c>
      <c r="C80" s="89" t="s">
        <v>35</v>
      </c>
      <c r="D80" s="65">
        <v>148.15</v>
      </c>
      <c r="E80" s="65"/>
      <c r="F80" s="65">
        <f>ROUND((D80+E80)/2,2)</f>
        <v>74.08</v>
      </c>
      <c r="G80" s="65"/>
      <c r="H80" s="124">
        <f t="shared" si="2"/>
        <v>-1</v>
      </c>
      <c r="I80" s="147" t="s">
        <v>298</v>
      </c>
    </row>
    <row r="81" spans="1:9" s="3" customFormat="1" ht="23.25" customHeight="1">
      <c r="A81" s="88"/>
      <c r="B81" s="74" t="s">
        <v>280</v>
      </c>
      <c r="C81" s="89" t="s">
        <v>35</v>
      </c>
      <c r="D81" s="65">
        <v>813.67</v>
      </c>
      <c r="E81" s="65"/>
      <c r="F81" s="65">
        <f>ROUND((D81+E81)/2,2)</f>
        <v>406.84</v>
      </c>
      <c r="G81" s="65"/>
      <c r="H81" s="124">
        <f t="shared" si="2"/>
        <v>-1</v>
      </c>
      <c r="I81" s="147" t="s">
        <v>298</v>
      </c>
    </row>
    <row r="82" spans="1:9" s="3" customFormat="1" ht="18.75">
      <c r="A82" s="88" t="s">
        <v>106</v>
      </c>
      <c r="B82" s="74" t="s">
        <v>191</v>
      </c>
      <c r="C82" s="89" t="s">
        <v>35</v>
      </c>
      <c r="D82" s="65">
        <v>16.02</v>
      </c>
      <c r="E82" s="65">
        <v>27.49</v>
      </c>
      <c r="F82" s="65">
        <f>ROUND((D82+E82)/2,2)</f>
        <v>21.76</v>
      </c>
      <c r="G82" s="65">
        <v>76.02</v>
      </c>
      <c r="H82" s="124">
        <f t="shared" si="2"/>
        <v>2.493566176470588</v>
      </c>
      <c r="I82" s="147" t="s">
        <v>300</v>
      </c>
    </row>
    <row r="83" spans="1:9" s="3" customFormat="1" ht="18" hidden="1">
      <c r="A83" s="88" t="s">
        <v>192</v>
      </c>
      <c r="B83" s="74" t="s">
        <v>188</v>
      </c>
      <c r="C83" s="89" t="s">
        <v>35</v>
      </c>
      <c r="D83" s="65"/>
      <c r="E83" s="65"/>
      <c r="F83" s="65">
        <f>ROUND((D83+E83)/2,2)</f>
        <v>0</v>
      </c>
      <c r="G83" s="65"/>
      <c r="H83" s="59"/>
      <c r="I83" s="147"/>
    </row>
    <row r="84" spans="1:9" s="3" customFormat="1" ht="18" hidden="1">
      <c r="A84" s="88" t="s">
        <v>247</v>
      </c>
      <c r="B84" s="74" t="s">
        <v>187</v>
      </c>
      <c r="C84" s="89" t="s">
        <v>35</v>
      </c>
      <c r="D84" s="65"/>
      <c r="E84" s="65"/>
      <c r="F84" s="65">
        <f>ROUND((D84+E84)/2,2)</f>
        <v>0</v>
      </c>
      <c r="G84" s="65"/>
      <c r="H84" s="59"/>
      <c r="I84" s="147"/>
    </row>
    <row r="85" spans="1:9" s="3" customFormat="1" ht="24" customHeight="1">
      <c r="A85" s="88" t="s">
        <v>193</v>
      </c>
      <c r="B85" s="74" t="s">
        <v>205</v>
      </c>
      <c r="C85" s="89" t="s">
        <v>35</v>
      </c>
      <c r="D85" s="65">
        <v>972.76</v>
      </c>
      <c r="E85" s="65"/>
      <c r="F85" s="65">
        <f>ROUND((D85+E85)/2,2)</f>
        <v>486.38</v>
      </c>
      <c r="G85" s="65">
        <v>27.69</v>
      </c>
      <c r="H85" s="124">
        <f aca="true" t="shared" si="3" ref="H85:H112">G85/F85-1</f>
        <v>-0.943069205148238</v>
      </c>
      <c r="I85" s="147" t="s">
        <v>298</v>
      </c>
    </row>
    <row r="86" spans="1:9" s="4" customFormat="1" ht="19.5">
      <c r="A86" s="71" t="s">
        <v>4</v>
      </c>
      <c r="B86" s="60" t="s">
        <v>5</v>
      </c>
      <c r="C86" s="61" t="s">
        <v>35</v>
      </c>
      <c r="D86" s="62">
        <f>SUM(D87:D97)</f>
        <v>60046.619999999995</v>
      </c>
      <c r="E86" s="62">
        <f>SUM(E87:E97)</f>
        <v>53445.92000000001</v>
      </c>
      <c r="F86" s="62">
        <f>SUM(F87:F97)</f>
        <v>56746.299999999996</v>
      </c>
      <c r="G86" s="62">
        <f>SUM(G87:G97)</f>
        <v>71731.64999999998</v>
      </c>
      <c r="H86" s="126">
        <f t="shared" si="3"/>
        <v>0.26407624814305053</v>
      </c>
      <c r="I86" s="147"/>
    </row>
    <row r="87" spans="1:9" s="4" customFormat="1" ht="18.75">
      <c r="A87" s="88" t="s">
        <v>147</v>
      </c>
      <c r="B87" s="74" t="s">
        <v>133</v>
      </c>
      <c r="C87" s="89" t="s">
        <v>35</v>
      </c>
      <c r="D87" s="65">
        <v>8746.67</v>
      </c>
      <c r="E87" s="65">
        <v>5990.16</v>
      </c>
      <c r="F87" s="65">
        <f>ROUND((D87+E87)/2,2)</f>
        <v>7368.42</v>
      </c>
      <c r="G87" s="65">
        <v>8588.36</v>
      </c>
      <c r="H87" s="124">
        <f t="shared" si="3"/>
        <v>0.16556330936618702</v>
      </c>
      <c r="I87" s="147" t="s">
        <v>300</v>
      </c>
    </row>
    <row r="88" spans="1:9" s="4" customFormat="1" ht="18.75">
      <c r="A88" s="88" t="s">
        <v>148</v>
      </c>
      <c r="B88" s="74" t="s">
        <v>134</v>
      </c>
      <c r="C88" s="89" t="s">
        <v>35</v>
      </c>
      <c r="D88" s="65">
        <v>3074.64</v>
      </c>
      <c r="E88" s="65">
        <v>2511.09</v>
      </c>
      <c r="F88" s="65">
        <f>ROUND((D88+E88)/2,2)</f>
        <v>2792.87</v>
      </c>
      <c r="G88" s="65">
        <v>4532.15</v>
      </c>
      <c r="H88" s="124">
        <f t="shared" si="3"/>
        <v>0.6227572353886861</v>
      </c>
      <c r="I88" s="147" t="s">
        <v>300</v>
      </c>
    </row>
    <row r="89" spans="1:9" s="4" customFormat="1" ht="18.75">
      <c r="A89" s="88" t="s">
        <v>149</v>
      </c>
      <c r="B89" s="74" t="s">
        <v>135</v>
      </c>
      <c r="C89" s="89" t="s">
        <v>35</v>
      </c>
      <c r="D89" s="65">
        <v>714.08</v>
      </c>
      <c r="E89" s="65">
        <v>434.16</v>
      </c>
      <c r="F89" s="65">
        <f>ROUND((D89+E89)/2,2)</f>
        <v>574.12</v>
      </c>
      <c r="G89" s="65">
        <v>701.48</v>
      </c>
      <c r="H89" s="124">
        <f t="shared" si="3"/>
        <v>0.22183515641329343</v>
      </c>
      <c r="I89" s="147" t="s">
        <v>300</v>
      </c>
    </row>
    <row r="90" spans="1:9" s="4" customFormat="1" ht="18.75">
      <c r="A90" s="88" t="s">
        <v>150</v>
      </c>
      <c r="B90" s="74" t="s">
        <v>168</v>
      </c>
      <c r="C90" s="89" t="s">
        <v>35</v>
      </c>
      <c r="D90" s="65">
        <v>37834.23</v>
      </c>
      <c r="E90" s="65">
        <v>36645.95</v>
      </c>
      <c r="F90" s="65">
        <f>ROUND((D90+E90)/2,2)</f>
        <v>37240.09</v>
      </c>
      <c r="G90" s="65">
        <v>48830.44</v>
      </c>
      <c r="H90" s="124">
        <f t="shared" si="3"/>
        <v>0.3112331361175553</v>
      </c>
      <c r="I90" s="147" t="s">
        <v>303</v>
      </c>
    </row>
    <row r="91" spans="1:9" s="4" customFormat="1" ht="17.25" customHeight="1">
      <c r="A91" s="88" t="s">
        <v>151</v>
      </c>
      <c r="B91" s="74" t="s">
        <v>136</v>
      </c>
      <c r="C91" s="89" t="s">
        <v>35</v>
      </c>
      <c r="D91" s="65">
        <v>117.51</v>
      </c>
      <c r="E91" s="65">
        <v>110.19</v>
      </c>
      <c r="F91" s="65">
        <f>ROUND((D91+E91)/2,2)</f>
        <v>113.85</v>
      </c>
      <c r="G91" s="65">
        <v>84.38</v>
      </c>
      <c r="H91" s="124">
        <f t="shared" si="3"/>
        <v>-0.2588493631971893</v>
      </c>
      <c r="I91" s="147" t="s">
        <v>298</v>
      </c>
    </row>
    <row r="92" spans="1:9" s="4" customFormat="1" ht="18.75">
      <c r="A92" s="88" t="s">
        <v>152</v>
      </c>
      <c r="B92" s="74" t="s">
        <v>137</v>
      </c>
      <c r="C92" s="89" t="s">
        <v>35</v>
      </c>
      <c r="D92" s="65">
        <v>2170.35</v>
      </c>
      <c r="E92" s="65">
        <v>1767.83</v>
      </c>
      <c r="F92" s="65">
        <f>ROUND((D92+E92)/2,2)</f>
        <v>1969.09</v>
      </c>
      <c r="G92" s="65">
        <v>2346.71</v>
      </c>
      <c r="H92" s="124">
        <f t="shared" si="3"/>
        <v>0.19177386508488703</v>
      </c>
      <c r="I92" s="147" t="s">
        <v>300</v>
      </c>
    </row>
    <row r="93" spans="1:9" s="4" customFormat="1" ht="21" customHeight="1">
      <c r="A93" s="88" t="s">
        <v>153</v>
      </c>
      <c r="B93" s="74" t="s">
        <v>138</v>
      </c>
      <c r="C93" s="89" t="s">
        <v>35</v>
      </c>
      <c r="D93" s="65">
        <v>278.59</v>
      </c>
      <c r="E93" s="65">
        <v>417.9</v>
      </c>
      <c r="F93" s="65">
        <f>ROUND((D93+E93)/2,2)</f>
        <v>348.25</v>
      </c>
      <c r="G93" s="65">
        <v>89.67</v>
      </c>
      <c r="H93" s="124">
        <f t="shared" si="3"/>
        <v>-0.7425125628140703</v>
      </c>
      <c r="I93" s="147" t="s">
        <v>298</v>
      </c>
    </row>
    <row r="94" spans="1:9" s="4" customFormat="1" ht="21" customHeight="1">
      <c r="A94" s="88" t="s">
        <v>154</v>
      </c>
      <c r="B94" s="74" t="s">
        <v>139</v>
      </c>
      <c r="C94" s="89" t="s">
        <v>35</v>
      </c>
      <c r="D94" s="65">
        <v>1133.36</v>
      </c>
      <c r="E94" s="65">
        <v>1267.5</v>
      </c>
      <c r="F94" s="65">
        <f>ROUND((D94+E94)/2,2)</f>
        <v>1200.43</v>
      </c>
      <c r="G94" s="65">
        <v>950.13</v>
      </c>
      <c r="H94" s="124">
        <f t="shared" si="3"/>
        <v>-0.20850861774530793</v>
      </c>
      <c r="I94" s="147" t="s">
        <v>298</v>
      </c>
    </row>
    <row r="95" spans="1:9" s="4" customFormat="1" ht="18.75">
      <c r="A95" s="88" t="s">
        <v>155</v>
      </c>
      <c r="B95" s="74" t="s">
        <v>140</v>
      </c>
      <c r="C95" s="89" t="s">
        <v>35</v>
      </c>
      <c r="D95" s="65">
        <v>1913.92</v>
      </c>
      <c r="E95" s="65">
        <v>2043.37</v>
      </c>
      <c r="F95" s="65">
        <f>ROUND((D95+E95)/2,2)</f>
        <v>1978.65</v>
      </c>
      <c r="G95" s="65">
        <v>2199.18</v>
      </c>
      <c r="H95" s="124">
        <f t="shared" si="3"/>
        <v>0.11145477977408835</v>
      </c>
      <c r="I95" s="147" t="s">
        <v>300</v>
      </c>
    </row>
    <row r="96" spans="1:9" s="4" customFormat="1" ht="18.75">
      <c r="A96" s="88" t="s">
        <v>156</v>
      </c>
      <c r="B96" s="74" t="s">
        <v>141</v>
      </c>
      <c r="C96" s="89" t="s">
        <v>35</v>
      </c>
      <c r="D96" s="65">
        <v>3105.27</v>
      </c>
      <c r="E96" s="65">
        <v>1670.26</v>
      </c>
      <c r="F96" s="65">
        <f>ROUND((D96+E96)/2,2)</f>
        <v>2387.77</v>
      </c>
      <c r="G96" s="65">
        <v>2998.7</v>
      </c>
      <c r="H96" s="124">
        <f t="shared" si="3"/>
        <v>0.25585797627074625</v>
      </c>
      <c r="I96" s="147" t="s">
        <v>300</v>
      </c>
    </row>
    <row r="97" spans="1:9" s="4" customFormat="1" ht="21" customHeight="1">
      <c r="A97" s="88" t="s">
        <v>182</v>
      </c>
      <c r="B97" s="74" t="s">
        <v>183</v>
      </c>
      <c r="C97" s="89" t="s">
        <v>35</v>
      </c>
      <c r="D97" s="65">
        <v>958</v>
      </c>
      <c r="E97" s="65">
        <v>587.51</v>
      </c>
      <c r="F97" s="65">
        <f>ROUND((D97+E97)/2,2)</f>
        <v>772.76</v>
      </c>
      <c r="G97" s="65">
        <v>410.45</v>
      </c>
      <c r="H97" s="124">
        <f t="shared" si="3"/>
        <v>-0.4688519074486257</v>
      </c>
      <c r="I97" s="147" t="s">
        <v>298</v>
      </c>
    </row>
    <row r="98" spans="1:10" ht="18.75">
      <c r="A98" s="75" t="s">
        <v>126</v>
      </c>
      <c r="B98" s="76" t="s">
        <v>6</v>
      </c>
      <c r="C98" s="55" t="s">
        <v>35</v>
      </c>
      <c r="D98" s="58">
        <f>D99+D146</f>
        <v>360765.29000000004</v>
      </c>
      <c r="E98" s="58">
        <f>E99+E146</f>
        <v>402791.23000000004</v>
      </c>
      <c r="F98" s="58">
        <f>F99+F146</f>
        <v>381778.38</v>
      </c>
      <c r="G98" s="58">
        <f>G99+G146</f>
        <v>473814.38</v>
      </c>
      <c r="H98" s="125">
        <f t="shared" si="3"/>
        <v>0.24107179667952905</v>
      </c>
      <c r="I98" s="147"/>
      <c r="J98" s="120"/>
    </row>
    <row r="99" spans="1:11" s="4" customFormat="1" ht="19.5">
      <c r="A99" s="71" t="s">
        <v>7</v>
      </c>
      <c r="B99" s="60" t="s">
        <v>8</v>
      </c>
      <c r="C99" s="61" t="s">
        <v>35</v>
      </c>
      <c r="D99" s="62">
        <f>SUM(D100,D106:D107,D111,D112:D116)</f>
        <v>291310.21</v>
      </c>
      <c r="E99" s="62">
        <f>SUM(E100,E106:E107,E111,E112:E116)</f>
        <v>321460.09</v>
      </c>
      <c r="F99" s="62">
        <f>SUM(F100,F106:F107,F111:F116)</f>
        <v>306385.24</v>
      </c>
      <c r="G99" s="62">
        <f>SUM(G100,G106:G107,G111:G116)</f>
        <v>380565.86</v>
      </c>
      <c r="H99" s="126">
        <f t="shared" si="3"/>
        <v>0.24211551444188362</v>
      </c>
      <c r="I99" s="147"/>
      <c r="J99" s="121"/>
      <c r="K99" s="121"/>
    </row>
    <row r="100" spans="1:10" ht="56.25">
      <c r="A100" s="48" t="s">
        <v>9</v>
      </c>
      <c r="B100" s="63" t="s">
        <v>114</v>
      </c>
      <c r="C100" s="12" t="s">
        <v>35</v>
      </c>
      <c r="D100" s="65">
        <f>D101+D102</f>
        <v>51385.98</v>
      </c>
      <c r="E100" s="65">
        <f>E101+E102</f>
        <v>52159.06</v>
      </c>
      <c r="F100" s="65">
        <f>F101+F102</f>
        <v>51772.53</v>
      </c>
      <c r="G100" s="65">
        <f>G101+G102</f>
        <v>64528.65</v>
      </c>
      <c r="H100" s="124">
        <f t="shared" si="3"/>
        <v>0.246387804497868</v>
      </c>
      <c r="I100" s="147" t="s">
        <v>304</v>
      </c>
      <c r="J100" s="120"/>
    </row>
    <row r="101" spans="1:9" ht="18.75">
      <c r="A101" s="48" t="s">
        <v>10</v>
      </c>
      <c r="B101" s="77" t="s">
        <v>115</v>
      </c>
      <c r="C101" s="12" t="s">
        <v>35</v>
      </c>
      <c r="D101" s="65">
        <v>46630.44</v>
      </c>
      <c r="E101" s="65">
        <v>46878.21</v>
      </c>
      <c r="F101" s="65">
        <f>ROUND((D101+E101)/2,2)</f>
        <v>46754.33</v>
      </c>
      <c r="G101" s="65">
        <f>57729.31+356.9</f>
        <v>58086.21</v>
      </c>
      <c r="H101" s="124">
        <f t="shared" si="3"/>
        <v>0.24237070662759996</v>
      </c>
      <c r="I101" s="147"/>
    </row>
    <row r="102" spans="1:9" ht="18.75">
      <c r="A102" s="48" t="s">
        <v>2</v>
      </c>
      <c r="B102" s="77" t="s">
        <v>197</v>
      </c>
      <c r="C102" s="12" t="s">
        <v>35</v>
      </c>
      <c r="D102" s="65">
        <v>4755.54</v>
      </c>
      <c r="E102" s="65">
        <f>SUM(E103:E105)</f>
        <v>5280.85</v>
      </c>
      <c r="F102" s="65">
        <f>ROUND((D102+E102)/2,2)</f>
        <v>5018.2</v>
      </c>
      <c r="G102" s="65">
        <f>SUM(G103:G105)</f>
        <v>6442.4400000000005</v>
      </c>
      <c r="H102" s="124">
        <f t="shared" si="3"/>
        <v>0.28381491371408085</v>
      </c>
      <c r="I102" s="147"/>
    </row>
    <row r="103" spans="1:9" ht="18" hidden="1">
      <c r="A103" s="48" t="s">
        <v>213</v>
      </c>
      <c r="B103" s="77" t="s">
        <v>199</v>
      </c>
      <c r="C103" s="12" t="s">
        <v>35</v>
      </c>
      <c r="D103" s="65"/>
      <c r="E103" s="65">
        <v>2440.9</v>
      </c>
      <c r="F103" s="65"/>
      <c r="G103" s="65">
        <v>3071.79</v>
      </c>
      <c r="H103" s="124"/>
      <c r="I103" s="147"/>
    </row>
    <row r="104" spans="1:9" ht="18" hidden="1">
      <c r="A104" s="48" t="s">
        <v>212</v>
      </c>
      <c r="B104" s="77" t="s">
        <v>198</v>
      </c>
      <c r="C104" s="12" t="s">
        <v>35</v>
      </c>
      <c r="D104" s="65"/>
      <c r="E104" s="65">
        <v>1433.6</v>
      </c>
      <c r="F104" s="65"/>
      <c r="G104" s="65">
        <v>1726.43</v>
      </c>
      <c r="H104" s="124"/>
      <c r="I104" s="147"/>
    </row>
    <row r="105" spans="1:9" ht="18" hidden="1">
      <c r="A105" s="48" t="s">
        <v>214</v>
      </c>
      <c r="B105" s="77" t="s">
        <v>194</v>
      </c>
      <c r="C105" s="12" t="s">
        <v>35</v>
      </c>
      <c r="D105" s="65"/>
      <c r="E105" s="65">
        <v>1406.35</v>
      </c>
      <c r="F105" s="65"/>
      <c r="G105" s="65">
        <v>1644.22</v>
      </c>
      <c r="H105" s="124"/>
      <c r="I105" s="147"/>
    </row>
    <row r="106" spans="1:9" s="2" customFormat="1" ht="18.75">
      <c r="A106" s="48" t="s">
        <v>44</v>
      </c>
      <c r="B106" s="74" t="s">
        <v>142</v>
      </c>
      <c r="C106" s="12" t="s">
        <v>35</v>
      </c>
      <c r="D106" s="65">
        <v>571.57</v>
      </c>
      <c r="E106" s="65">
        <v>260.55</v>
      </c>
      <c r="F106" s="65">
        <f>ROUND((D106+E106)/2,2)</f>
        <v>416.06</v>
      </c>
      <c r="G106" s="65">
        <v>728.3</v>
      </c>
      <c r="H106" s="124">
        <f t="shared" si="3"/>
        <v>0.7504686824015765</v>
      </c>
      <c r="I106" s="147" t="s">
        <v>300</v>
      </c>
    </row>
    <row r="107" spans="1:9" ht="37.5">
      <c r="A107" s="48" t="s">
        <v>45</v>
      </c>
      <c r="B107" s="63" t="s">
        <v>116</v>
      </c>
      <c r="C107" s="12" t="s">
        <v>35</v>
      </c>
      <c r="D107" s="65">
        <f>SUM(D108:D110)</f>
        <v>111430.1</v>
      </c>
      <c r="E107" s="65">
        <f>SUM(E108:E110)</f>
        <v>54368.14</v>
      </c>
      <c r="F107" s="65">
        <f>SUM(F108:F110)</f>
        <v>82899.12999999999</v>
      </c>
      <c r="G107" s="65">
        <f>SUM(G108:G110)</f>
        <v>135194.13999999998</v>
      </c>
      <c r="H107" s="124">
        <f t="shared" si="3"/>
        <v>0.6308270062665313</v>
      </c>
      <c r="I107" s="147" t="s">
        <v>305</v>
      </c>
    </row>
    <row r="108" spans="1:9" ht="18.75">
      <c r="A108" s="92" t="s">
        <v>172</v>
      </c>
      <c r="B108" s="93" t="s">
        <v>143</v>
      </c>
      <c r="C108" s="12" t="s">
        <v>35</v>
      </c>
      <c r="D108" s="65">
        <v>109261.96</v>
      </c>
      <c r="E108" s="65">
        <v>52426.99</v>
      </c>
      <c r="F108" s="65">
        <f>ROUND((D108+E108)/2,2)</f>
        <v>80844.48</v>
      </c>
      <c r="G108" s="65">
        <v>133069.68</v>
      </c>
      <c r="H108" s="124">
        <f t="shared" si="3"/>
        <v>0.6459958676213886</v>
      </c>
      <c r="I108" s="147"/>
    </row>
    <row r="109" spans="1:9" ht="18.75">
      <c r="A109" s="92" t="s">
        <v>173</v>
      </c>
      <c r="B109" s="93" t="s">
        <v>144</v>
      </c>
      <c r="C109" s="12" t="s">
        <v>35</v>
      </c>
      <c r="D109" s="65">
        <v>1008.08</v>
      </c>
      <c r="E109" s="65">
        <v>953.41</v>
      </c>
      <c r="F109" s="65">
        <f>ROUND((D109+E109)/2,2)</f>
        <v>980.75</v>
      </c>
      <c r="G109" s="65">
        <v>1011.22</v>
      </c>
      <c r="H109" s="124">
        <f t="shared" si="3"/>
        <v>0.03106806015804242</v>
      </c>
      <c r="I109" s="147"/>
    </row>
    <row r="110" spans="1:9" ht="18.75">
      <c r="A110" s="92" t="s">
        <v>174</v>
      </c>
      <c r="B110" s="93" t="s">
        <v>145</v>
      </c>
      <c r="C110" s="12" t="s">
        <v>35</v>
      </c>
      <c r="D110" s="65">
        <v>1160.06</v>
      </c>
      <c r="E110" s="65">
        <v>987.74</v>
      </c>
      <c r="F110" s="65">
        <f>ROUND((D110+E110)/2,2)</f>
        <v>1073.9</v>
      </c>
      <c r="G110" s="65">
        <v>1113.24</v>
      </c>
      <c r="H110" s="124">
        <f t="shared" si="3"/>
        <v>0.03663283359716907</v>
      </c>
      <c r="I110" s="147"/>
    </row>
    <row r="111" spans="1:9" s="2" customFormat="1" ht="39.75" customHeight="1">
      <c r="A111" s="48" t="s">
        <v>46</v>
      </c>
      <c r="B111" s="74" t="s">
        <v>274</v>
      </c>
      <c r="C111" s="12" t="s">
        <v>35</v>
      </c>
      <c r="D111" s="65"/>
      <c r="E111" s="65">
        <v>15417.27</v>
      </c>
      <c r="F111" s="65">
        <f>ROUND((D111+E111)/2,2)</f>
        <v>7708.64</v>
      </c>
      <c r="G111" s="65"/>
      <c r="H111" s="124">
        <f t="shared" si="3"/>
        <v>-1</v>
      </c>
      <c r="I111" s="147" t="s">
        <v>314</v>
      </c>
    </row>
    <row r="112" spans="1:9" s="2" customFormat="1" ht="35.25" customHeight="1">
      <c r="A112" s="48" t="s">
        <v>47</v>
      </c>
      <c r="B112" s="74" t="s">
        <v>275</v>
      </c>
      <c r="C112" s="12" t="s">
        <v>35</v>
      </c>
      <c r="D112" s="65"/>
      <c r="E112" s="65">
        <v>1052.09</v>
      </c>
      <c r="F112" s="65">
        <f>ROUND((D112+E112)/2,2)</f>
        <v>526.05</v>
      </c>
      <c r="G112" s="65"/>
      <c r="H112" s="124">
        <f t="shared" si="3"/>
        <v>-1</v>
      </c>
      <c r="I112" s="147" t="s">
        <v>314</v>
      </c>
    </row>
    <row r="113" spans="1:9" s="2" customFormat="1" ht="18.75">
      <c r="A113" s="48" t="s">
        <v>48</v>
      </c>
      <c r="B113" s="63" t="s">
        <v>118</v>
      </c>
      <c r="C113" s="12" t="s">
        <v>35</v>
      </c>
      <c r="D113" s="65">
        <v>164.21</v>
      </c>
      <c r="E113" s="65">
        <v>207.31</v>
      </c>
      <c r="F113" s="65">
        <f>ROUND((D113+E113)/2,2)</f>
        <v>185.76</v>
      </c>
      <c r="G113" s="65">
        <v>190.64</v>
      </c>
      <c r="H113" s="124">
        <f aca="true" t="shared" si="4" ref="H113:H129">G113/F113-1</f>
        <v>0.026270456503014517</v>
      </c>
      <c r="I113" s="147" t="s">
        <v>300</v>
      </c>
    </row>
    <row r="114" spans="1:9" s="2" customFormat="1" ht="18.75">
      <c r="A114" s="48" t="s">
        <v>49</v>
      </c>
      <c r="B114" s="63" t="s">
        <v>119</v>
      </c>
      <c r="C114" s="12" t="s">
        <v>35</v>
      </c>
      <c r="D114" s="65">
        <v>734.42</v>
      </c>
      <c r="E114" s="65">
        <v>544.09</v>
      </c>
      <c r="F114" s="65">
        <f>ROUND((D114+E114)/2,2)</f>
        <v>639.26</v>
      </c>
      <c r="G114" s="65">
        <v>746.76</v>
      </c>
      <c r="H114" s="124">
        <f t="shared" si="4"/>
        <v>0.16816318868691926</v>
      </c>
      <c r="I114" s="147" t="s">
        <v>300</v>
      </c>
    </row>
    <row r="115" spans="1:9" ht="18.75">
      <c r="A115" s="48" t="s">
        <v>50</v>
      </c>
      <c r="B115" s="63" t="s">
        <v>120</v>
      </c>
      <c r="C115" s="12" t="s">
        <v>35</v>
      </c>
      <c r="D115" s="65">
        <v>483.1</v>
      </c>
      <c r="E115" s="65">
        <v>2357.46</v>
      </c>
      <c r="F115" s="65">
        <f>ROUND((D115+E115)/2,2)</f>
        <v>1420.28</v>
      </c>
      <c r="G115" s="65">
        <v>1636.03</v>
      </c>
      <c r="H115" s="124">
        <f t="shared" si="4"/>
        <v>0.1519066662911539</v>
      </c>
      <c r="I115" s="147" t="s">
        <v>300</v>
      </c>
    </row>
    <row r="116" spans="1:9" ht="18.75">
      <c r="A116" s="75" t="s">
        <v>51</v>
      </c>
      <c r="B116" s="96" t="s">
        <v>12</v>
      </c>
      <c r="C116" s="55" t="s">
        <v>35</v>
      </c>
      <c r="D116" s="58">
        <f>SUM(D117:D129,D137:D141,D144:D145)</f>
        <v>126540.83</v>
      </c>
      <c r="E116" s="58">
        <f>SUM(E117:E129,E137:E141,E144:E145)</f>
        <v>195094.12000000002</v>
      </c>
      <c r="F116" s="58">
        <f>SUM(F117:F129,F137:F141,F144:F145)</f>
        <v>160817.53</v>
      </c>
      <c r="G116" s="58">
        <f>SUM(G117:G129,G137:G141,G144:G145)</f>
        <v>177541.34</v>
      </c>
      <c r="H116" s="125">
        <f t="shared" si="4"/>
        <v>0.1039924565437611</v>
      </c>
      <c r="I116" s="147"/>
    </row>
    <row r="117" spans="1:9" ht="18.75">
      <c r="A117" s="88" t="s">
        <v>216</v>
      </c>
      <c r="B117" s="74" t="s">
        <v>163</v>
      </c>
      <c r="C117" s="89" t="s">
        <v>35</v>
      </c>
      <c r="D117" s="65">
        <v>475.67</v>
      </c>
      <c r="E117" s="65">
        <v>187.55</v>
      </c>
      <c r="F117" s="65">
        <f>ROUND((D117+E117)/2,2)</f>
        <v>331.61</v>
      </c>
      <c r="G117" s="65">
        <v>460.58</v>
      </c>
      <c r="H117" s="124">
        <f t="shared" si="4"/>
        <v>0.388920720123036</v>
      </c>
      <c r="I117" s="147" t="s">
        <v>306</v>
      </c>
    </row>
    <row r="118" spans="1:9" ht="56.25">
      <c r="A118" s="88" t="s">
        <v>217</v>
      </c>
      <c r="B118" s="74" t="s">
        <v>158</v>
      </c>
      <c r="C118" s="89" t="s">
        <v>35</v>
      </c>
      <c r="D118" s="65">
        <v>139.32</v>
      </c>
      <c r="E118" s="65">
        <v>126.63</v>
      </c>
      <c r="F118" s="65">
        <f>ROUND((D118+E118)/2,2)</f>
        <v>132.98</v>
      </c>
      <c r="G118" s="65">
        <v>720.5</v>
      </c>
      <c r="H118" s="124">
        <f t="shared" si="4"/>
        <v>4.418107986163333</v>
      </c>
      <c r="I118" s="147" t="s">
        <v>307</v>
      </c>
    </row>
    <row r="119" spans="1:9" ht="56.25">
      <c r="A119" s="88" t="s">
        <v>218</v>
      </c>
      <c r="B119" s="74" t="s">
        <v>159</v>
      </c>
      <c r="C119" s="89" t="s">
        <v>35</v>
      </c>
      <c r="D119" s="65">
        <v>325.26</v>
      </c>
      <c r="E119" s="65">
        <v>1045.35</v>
      </c>
      <c r="F119" s="65">
        <f>ROUND((D119+E119)/2,2)</f>
        <v>685.31</v>
      </c>
      <c r="G119" s="65">
        <v>525.06</v>
      </c>
      <c r="H119" s="124">
        <f t="shared" si="4"/>
        <v>-0.23383578234667524</v>
      </c>
      <c r="I119" s="147" t="s">
        <v>304</v>
      </c>
    </row>
    <row r="120" spans="1:9" ht="18.75">
      <c r="A120" s="88" t="s">
        <v>219</v>
      </c>
      <c r="B120" s="74" t="s">
        <v>162</v>
      </c>
      <c r="C120" s="89" t="s">
        <v>35</v>
      </c>
      <c r="D120" s="65">
        <v>1.97</v>
      </c>
      <c r="E120" s="65">
        <v>0.76</v>
      </c>
      <c r="F120" s="65">
        <f>ROUND((D120+E120)/2,2)</f>
        <v>1.37</v>
      </c>
      <c r="G120" s="65">
        <v>1.79</v>
      </c>
      <c r="H120" s="124">
        <f t="shared" si="4"/>
        <v>0.3065693430656933</v>
      </c>
      <c r="I120" s="147" t="s">
        <v>302</v>
      </c>
    </row>
    <row r="121" spans="1:9" ht="18.75">
      <c r="A121" s="88" t="s">
        <v>220</v>
      </c>
      <c r="B121" s="74" t="s">
        <v>161</v>
      </c>
      <c r="C121" s="89" t="s">
        <v>35</v>
      </c>
      <c r="D121" s="65">
        <v>787.9</v>
      </c>
      <c r="E121" s="65">
        <v>305.94</v>
      </c>
      <c r="F121" s="65">
        <f>ROUND((D121+E121)/2,2)</f>
        <v>546.92</v>
      </c>
      <c r="G121" s="65">
        <v>561.23</v>
      </c>
      <c r="H121" s="124">
        <f t="shared" si="4"/>
        <v>0.026164704161486307</v>
      </c>
      <c r="I121" s="147" t="s">
        <v>300</v>
      </c>
    </row>
    <row r="122" spans="1:9" ht="18.75">
      <c r="A122" s="88" t="s">
        <v>221</v>
      </c>
      <c r="B122" s="74" t="s">
        <v>160</v>
      </c>
      <c r="C122" s="89" t="s">
        <v>35</v>
      </c>
      <c r="D122" s="65">
        <v>10454.02</v>
      </c>
      <c r="E122" s="65">
        <v>10391.96</v>
      </c>
      <c r="F122" s="65">
        <f>ROUND((D122+E122)/2,2)</f>
        <v>10422.99</v>
      </c>
      <c r="G122" s="65">
        <v>10435.06</v>
      </c>
      <c r="H122" s="124">
        <f t="shared" si="4"/>
        <v>0.0011580170373375331</v>
      </c>
      <c r="I122" s="147"/>
    </row>
    <row r="123" spans="1:9" ht="25.5" customHeight="1">
      <c r="A123" s="88" t="s">
        <v>222</v>
      </c>
      <c r="B123" s="74" t="s">
        <v>157</v>
      </c>
      <c r="C123" s="89" t="s">
        <v>35</v>
      </c>
      <c r="D123" s="65">
        <v>155.68</v>
      </c>
      <c r="E123" s="65">
        <v>202.25</v>
      </c>
      <c r="F123" s="65">
        <f>ROUND((D123+E123)/2,2)</f>
        <v>178.97</v>
      </c>
      <c r="G123" s="65">
        <v>77.68</v>
      </c>
      <c r="H123" s="124">
        <f t="shared" si="4"/>
        <v>-0.5659607755489746</v>
      </c>
      <c r="I123" s="147" t="s">
        <v>298</v>
      </c>
    </row>
    <row r="124" spans="1:9" ht="56.25">
      <c r="A124" s="88"/>
      <c r="B124" s="74" t="s">
        <v>281</v>
      </c>
      <c r="C124" s="89" t="s">
        <v>35</v>
      </c>
      <c r="D124" s="65">
        <v>14.29</v>
      </c>
      <c r="E124" s="65"/>
      <c r="F124" s="65">
        <f>ROUND((D124+E124)/2,2)</f>
        <v>7.15</v>
      </c>
      <c r="G124" s="65">
        <v>46.12</v>
      </c>
      <c r="H124" s="124">
        <f t="shared" si="4"/>
        <v>5.45034965034965</v>
      </c>
      <c r="I124" s="147" t="s">
        <v>308</v>
      </c>
    </row>
    <row r="125" spans="1:9" ht="37.5">
      <c r="A125" s="88" t="s">
        <v>223</v>
      </c>
      <c r="B125" s="74" t="s">
        <v>136</v>
      </c>
      <c r="C125" s="89" t="s">
        <v>35</v>
      </c>
      <c r="D125" s="65">
        <v>68.67</v>
      </c>
      <c r="E125" s="65">
        <v>18.99</v>
      </c>
      <c r="F125" s="65">
        <f>ROUND((D125+E125)/2,2)</f>
        <v>43.83</v>
      </c>
      <c r="G125" s="65">
        <v>52.72</v>
      </c>
      <c r="H125" s="124">
        <f t="shared" si="4"/>
        <v>0.20282911248003654</v>
      </c>
      <c r="I125" s="147" t="s">
        <v>309</v>
      </c>
    </row>
    <row r="126" spans="1:9" ht="56.25">
      <c r="A126" s="88" t="s">
        <v>224</v>
      </c>
      <c r="B126" s="74" t="s">
        <v>184</v>
      </c>
      <c r="C126" s="89" t="s">
        <v>35</v>
      </c>
      <c r="D126" s="65">
        <v>140</v>
      </c>
      <c r="E126" s="65">
        <v>1212.39</v>
      </c>
      <c r="F126" s="65">
        <f>ROUND((D126+E126)/2,2)</f>
        <v>676.2</v>
      </c>
      <c r="G126" s="65">
        <f>565+700+334+748.73</f>
        <v>2347.73</v>
      </c>
      <c r="H126" s="124">
        <f t="shared" si="4"/>
        <v>2.4719461697722567</v>
      </c>
      <c r="I126" s="147" t="s">
        <v>310</v>
      </c>
    </row>
    <row r="127" spans="1:9" ht="23.25" customHeight="1">
      <c r="A127" s="88" t="s">
        <v>225</v>
      </c>
      <c r="B127" s="74" t="s">
        <v>34</v>
      </c>
      <c r="C127" s="89" t="s">
        <v>35</v>
      </c>
      <c r="D127" s="65">
        <v>281.27</v>
      </c>
      <c r="E127" s="65">
        <v>104.46</v>
      </c>
      <c r="F127" s="65">
        <f>ROUND((D127+E127)/2,2)</f>
        <v>192.87</v>
      </c>
      <c r="G127" s="65">
        <v>131.25</v>
      </c>
      <c r="H127" s="124">
        <f t="shared" si="4"/>
        <v>-0.3194898117903251</v>
      </c>
      <c r="I127" s="147" t="s">
        <v>298</v>
      </c>
    </row>
    <row r="128" spans="1:9" ht="18.75">
      <c r="A128" s="88" t="s">
        <v>226</v>
      </c>
      <c r="B128" s="74" t="s">
        <v>206</v>
      </c>
      <c r="C128" s="89" t="s">
        <v>35</v>
      </c>
      <c r="D128" s="65">
        <v>320.81</v>
      </c>
      <c r="E128" s="65">
        <v>339.37</v>
      </c>
      <c r="F128" s="65">
        <f>ROUND((D128+E128)/2,2)</f>
        <v>330.09</v>
      </c>
      <c r="G128" s="65">
        <v>327.86</v>
      </c>
      <c r="H128" s="124">
        <f t="shared" si="4"/>
        <v>-0.006755733284861565</v>
      </c>
      <c r="I128" s="147"/>
    </row>
    <row r="129" spans="1:9" ht="36" customHeight="1">
      <c r="A129" s="88" t="s">
        <v>227</v>
      </c>
      <c r="B129" s="90" t="s">
        <v>210</v>
      </c>
      <c r="C129" s="97" t="s">
        <v>35</v>
      </c>
      <c r="D129" s="98">
        <v>3415.83</v>
      </c>
      <c r="E129" s="98">
        <f>SUM(E130:E131,E135:E136)</f>
        <v>4689</v>
      </c>
      <c r="F129" s="98">
        <f>ROUND((D129+E129)/2,2)</f>
        <v>4052.42</v>
      </c>
      <c r="G129" s="98">
        <f>SUM(G130:G131,G135:G136)</f>
        <v>3990.6099999999997</v>
      </c>
      <c r="H129" s="127">
        <f t="shared" si="4"/>
        <v>-0.015252614487146099</v>
      </c>
      <c r="I129" s="147" t="s">
        <v>311</v>
      </c>
    </row>
    <row r="130" spans="1:9" ht="37.5">
      <c r="A130" s="88" t="s">
        <v>248</v>
      </c>
      <c r="B130" s="74" t="s">
        <v>207</v>
      </c>
      <c r="C130" s="89" t="s">
        <v>29</v>
      </c>
      <c r="D130" s="65"/>
      <c r="E130" s="65">
        <v>1965.41</v>
      </c>
      <c r="F130" s="65"/>
      <c r="G130" s="65">
        <v>2621.99</v>
      </c>
      <c r="H130" s="124"/>
      <c r="I130" s="147"/>
    </row>
    <row r="131" spans="1:9" ht="31.5">
      <c r="A131" s="88" t="s">
        <v>249</v>
      </c>
      <c r="B131" s="74" t="s">
        <v>208</v>
      </c>
      <c r="C131" s="89" t="s">
        <v>29</v>
      </c>
      <c r="D131" s="65">
        <f>SUM(D132:D134)</f>
        <v>0</v>
      </c>
      <c r="E131" s="65">
        <f>SUM(E132:E134)</f>
        <v>221.36</v>
      </c>
      <c r="F131" s="65"/>
      <c r="G131" s="65">
        <f>SUM(G132:G134)</f>
        <v>292.15999999999997</v>
      </c>
      <c r="H131" s="124"/>
      <c r="I131" s="147"/>
    </row>
    <row r="132" spans="1:9" ht="18" hidden="1">
      <c r="A132" s="88" t="s">
        <v>250</v>
      </c>
      <c r="B132" s="74" t="s">
        <v>199</v>
      </c>
      <c r="C132" s="89" t="s">
        <v>29</v>
      </c>
      <c r="D132" s="65"/>
      <c r="E132" s="65">
        <v>102.5</v>
      </c>
      <c r="F132" s="65"/>
      <c r="G132" s="65">
        <v>132.55</v>
      </c>
      <c r="H132" s="124"/>
      <c r="I132" s="147"/>
    </row>
    <row r="133" spans="1:9" ht="18" hidden="1">
      <c r="A133" s="88" t="s">
        <v>251</v>
      </c>
      <c r="B133" s="74" t="s">
        <v>198</v>
      </c>
      <c r="C133" s="89" t="s">
        <v>29</v>
      </c>
      <c r="D133" s="65"/>
      <c r="E133" s="65">
        <v>59.9</v>
      </c>
      <c r="F133" s="65"/>
      <c r="G133" s="65">
        <v>80.26</v>
      </c>
      <c r="H133" s="124"/>
      <c r="I133" s="147"/>
    </row>
    <row r="134" spans="1:9" ht="36" hidden="1">
      <c r="A134" s="88" t="s">
        <v>252</v>
      </c>
      <c r="B134" s="74" t="s">
        <v>209</v>
      </c>
      <c r="C134" s="89" t="s">
        <v>29</v>
      </c>
      <c r="D134" s="65"/>
      <c r="E134" s="65">
        <v>58.96</v>
      </c>
      <c r="F134" s="65"/>
      <c r="G134" s="65">
        <v>79.35</v>
      </c>
      <c r="H134" s="124"/>
      <c r="I134" s="147"/>
    </row>
    <row r="135" spans="1:9" ht="18.75">
      <c r="A135" s="88" t="s">
        <v>253</v>
      </c>
      <c r="B135" s="63" t="s">
        <v>117</v>
      </c>
      <c r="C135" s="12" t="s">
        <v>29</v>
      </c>
      <c r="D135" s="65"/>
      <c r="E135" s="65">
        <v>1516.01</v>
      </c>
      <c r="F135" s="65"/>
      <c r="G135" s="65"/>
      <c r="H135" s="72"/>
      <c r="I135" s="147"/>
    </row>
    <row r="136" spans="1:9" ht="18.75">
      <c r="A136" s="88" t="s">
        <v>254</v>
      </c>
      <c r="B136" s="63" t="s">
        <v>211</v>
      </c>
      <c r="C136" s="12" t="s">
        <v>29</v>
      </c>
      <c r="D136" s="65"/>
      <c r="E136" s="65">
        <v>986.22</v>
      </c>
      <c r="F136" s="65"/>
      <c r="G136" s="65">
        <v>1076.46</v>
      </c>
      <c r="H136" s="72"/>
      <c r="I136" s="147"/>
    </row>
    <row r="137" spans="1:9" ht="19.5" customHeight="1">
      <c r="A137" s="88" t="s">
        <v>228</v>
      </c>
      <c r="B137" s="74" t="s">
        <v>169</v>
      </c>
      <c r="C137" s="89" t="s">
        <v>35</v>
      </c>
      <c r="D137" s="65">
        <v>55.39</v>
      </c>
      <c r="E137" s="65">
        <v>154.37</v>
      </c>
      <c r="F137" s="65">
        <f>ROUND((D137+E137)/2,2)</f>
        <v>104.88</v>
      </c>
      <c r="G137" s="65">
        <v>87.11</v>
      </c>
      <c r="H137" s="124">
        <f aca="true" t="shared" si="5" ref="H137:H168">G137/F137-1</f>
        <v>-0.16943173150266966</v>
      </c>
      <c r="I137" s="147" t="s">
        <v>298</v>
      </c>
    </row>
    <row r="138" spans="1:9" ht="24" customHeight="1">
      <c r="A138" s="88" t="s">
        <v>229</v>
      </c>
      <c r="B138" s="74" t="s">
        <v>170</v>
      </c>
      <c r="C138" s="89" t="s">
        <v>35</v>
      </c>
      <c r="D138" s="65"/>
      <c r="E138" s="65">
        <v>82.12</v>
      </c>
      <c r="F138" s="65">
        <f>ROUND((D138+E138)/2,2)</f>
        <v>41.06</v>
      </c>
      <c r="G138" s="65"/>
      <c r="H138" s="124">
        <f t="shared" si="5"/>
        <v>-1</v>
      </c>
      <c r="I138" s="147" t="s">
        <v>298</v>
      </c>
    </row>
    <row r="139" spans="1:9" ht="18.75">
      <c r="A139" s="88" t="s">
        <v>230</v>
      </c>
      <c r="B139" s="74" t="s">
        <v>135</v>
      </c>
      <c r="C139" s="89" t="s">
        <v>35</v>
      </c>
      <c r="D139" s="65">
        <v>1191.74</v>
      </c>
      <c r="E139" s="65">
        <v>886.38</v>
      </c>
      <c r="F139" s="65">
        <f>ROUND((D139+E139)/2,2)</f>
        <v>1039.06</v>
      </c>
      <c r="G139" s="65">
        <v>1423.78</v>
      </c>
      <c r="H139" s="124">
        <f t="shared" si="5"/>
        <v>0.37025773295093645</v>
      </c>
      <c r="I139" s="147" t="s">
        <v>300</v>
      </c>
    </row>
    <row r="140" spans="1:9" ht="23.25" customHeight="1">
      <c r="A140" s="88" t="s">
        <v>231</v>
      </c>
      <c r="B140" s="74" t="s">
        <v>171</v>
      </c>
      <c r="C140" s="89" t="s">
        <v>35</v>
      </c>
      <c r="D140" s="65">
        <v>322.06</v>
      </c>
      <c r="E140" s="65">
        <v>110.89</v>
      </c>
      <c r="F140" s="65">
        <f>ROUND((D140+E140)/2,2)</f>
        <v>216.48</v>
      </c>
      <c r="G140" s="65">
        <v>195</v>
      </c>
      <c r="H140" s="124">
        <f t="shared" si="5"/>
        <v>-0.0992239467849223</v>
      </c>
      <c r="I140" s="147" t="s">
        <v>298</v>
      </c>
    </row>
    <row r="141" spans="1:9" ht="31.5">
      <c r="A141" s="88" t="s">
        <v>232</v>
      </c>
      <c r="B141" s="81" t="s">
        <v>86</v>
      </c>
      <c r="C141" s="56" t="s">
        <v>35</v>
      </c>
      <c r="D141" s="58">
        <f>SUM(D142:D143)</f>
        <v>107927.39</v>
      </c>
      <c r="E141" s="58">
        <f>SUM(E142:E143)</f>
        <v>174695.42</v>
      </c>
      <c r="F141" s="58">
        <f>SUM(F142:F143)</f>
        <v>141311.41</v>
      </c>
      <c r="G141" s="58">
        <f>SUM(G142:G143)</f>
        <v>156157.26</v>
      </c>
      <c r="H141" s="125">
        <f t="shared" si="5"/>
        <v>0.10505768783992742</v>
      </c>
      <c r="I141" s="147"/>
    </row>
    <row r="142" spans="1:9" ht="18.75">
      <c r="A142" s="88" t="s">
        <v>255</v>
      </c>
      <c r="B142" s="91" t="s">
        <v>87</v>
      </c>
      <c r="C142" s="89" t="s">
        <v>35</v>
      </c>
      <c r="D142" s="65">
        <v>107927.39</v>
      </c>
      <c r="E142" s="65">
        <v>174642.47</v>
      </c>
      <c r="F142" s="65">
        <f>ROUND((D142+E142)/2,2)</f>
        <v>141284.93</v>
      </c>
      <c r="G142" s="65">
        <v>156104.31</v>
      </c>
      <c r="H142" s="124">
        <f t="shared" si="5"/>
        <v>0.10489002613371445</v>
      </c>
      <c r="I142" s="147" t="s">
        <v>312</v>
      </c>
    </row>
    <row r="143" spans="1:9" ht="18.75">
      <c r="A143" s="88" t="s">
        <v>256</v>
      </c>
      <c r="B143" s="91" t="s">
        <v>88</v>
      </c>
      <c r="C143" s="89" t="s">
        <v>35</v>
      </c>
      <c r="D143" s="65"/>
      <c r="E143" s="65">
        <v>52.95</v>
      </c>
      <c r="F143" s="65">
        <f>ROUND((D143+E143)/2,2)</f>
        <v>26.48</v>
      </c>
      <c r="G143" s="65">
        <v>52.95</v>
      </c>
      <c r="H143" s="124">
        <f t="shared" si="5"/>
        <v>0.9996223564954683</v>
      </c>
      <c r="I143" s="147"/>
    </row>
    <row r="144" spans="1:9" ht="18.75">
      <c r="A144" s="88" t="s">
        <v>233</v>
      </c>
      <c r="B144" s="74" t="s">
        <v>185</v>
      </c>
      <c r="C144" s="89" t="s">
        <v>35</v>
      </c>
      <c r="D144" s="65">
        <v>231.78</v>
      </c>
      <c r="E144" s="65">
        <v>333.53</v>
      </c>
      <c r="F144" s="65">
        <f>ROUND((D144+E144)/2,2)</f>
        <v>282.66</v>
      </c>
      <c r="G144" s="65"/>
      <c r="H144" s="124">
        <f t="shared" si="5"/>
        <v>-1</v>
      </c>
      <c r="I144" s="148" t="s">
        <v>313</v>
      </c>
    </row>
    <row r="145" spans="1:9" ht="18.75">
      <c r="A145" s="88" t="s">
        <v>234</v>
      </c>
      <c r="B145" s="74" t="s">
        <v>186</v>
      </c>
      <c r="C145" s="89" t="s">
        <v>35</v>
      </c>
      <c r="D145" s="65">
        <v>231.78</v>
      </c>
      <c r="E145" s="65">
        <v>206.76</v>
      </c>
      <c r="F145" s="65">
        <f>ROUND((D145+E145)/2,2)</f>
        <v>219.27</v>
      </c>
      <c r="G145" s="65"/>
      <c r="H145" s="124">
        <f t="shared" si="5"/>
        <v>-1</v>
      </c>
      <c r="I145" s="149"/>
    </row>
    <row r="146" spans="1:10" ht="19.5">
      <c r="A146" s="71" t="s">
        <v>36</v>
      </c>
      <c r="B146" s="60" t="s">
        <v>37</v>
      </c>
      <c r="C146" s="55" t="s">
        <v>35</v>
      </c>
      <c r="D146" s="58">
        <f>SUM(D147:D148,D152:D157)</f>
        <v>69455.08000000002</v>
      </c>
      <c r="E146" s="58">
        <f>SUM(E147:E148,E152:E157)</f>
        <v>81331.14</v>
      </c>
      <c r="F146" s="58">
        <f>SUM(F147:F148,F152:F157)</f>
        <v>75393.14</v>
      </c>
      <c r="G146" s="58">
        <f>SUM(G147:G148,G152:G157)</f>
        <v>93248.51999999999</v>
      </c>
      <c r="H146" s="125">
        <f t="shared" si="5"/>
        <v>0.23683030047561338</v>
      </c>
      <c r="I146" s="147"/>
      <c r="J146" s="120"/>
    </row>
    <row r="147" spans="1:9" s="8" customFormat="1" ht="56.25">
      <c r="A147" s="48" t="s">
        <v>38</v>
      </c>
      <c r="B147" s="63" t="s">
        <v>121</v>
      </c>
      <c r="C147" s="12" t="s">
        <v>35</v>
      </c>
      <c r="D147" s="65">
        <v>58292.34</v>
      </c>
      <c r="E147" s="65">
        <v>57019.68</v>
      </c>
      <c r="F147" s="65">
        <f>ROUND((D147+E147)/2,2)</f>
        <v>57656.01</v>
      </c>
      <c r="G147" s="65">
        <v>61986.2</v>
      </c>
      <c r="H147" s="124">
        <f t="shared" si="5"/>
        <v>0.07510387902319282</v>
      </c>
      <c r="I147" s="147" t="s">
        <v>304</v>
      </c>
    </row>
    <row r="148" spans="1:9" ht="18.75">
      <c r="A148" s="48" t="s">
        <v>39</v>
      </c>
      <c r="B148" s="63" t="s">
        <v>197</v>
      </c>
      <c r="C148" s="12" t="s">
        <v>35</v>
      </c>
      <c r="D148" s="65">
        <v>5537.77</v>
      </c>
      <c r="E148" s="65">
        <f>SUM(E149:E151)</f>
        <v>6423.29</v>
      </c>
      <c r="F148" s="65">
        <f>ROUND((D148+E148)/2,2)</f>
        <v>5980.53</v>
      </c>
      <c r="G148" s="65">
        <f>SUM(G149:G151)</f>
        <v>6912.32</v>
      </c>
      <c r="H148" s="124">
        <f t="shared" si="5"/>
        <v>0.15580391704414165</v>
      </c>
      <c r="I148" s="147"/>
    </row>
    <row r="149" spans="1:9" ht="18" hidden="1">
      <c r="A149" s="48" t="s">
        <v>235</v>
      </c>
      <c r="B149" s="74" t="s">
        <v>199</v>
      </c>
      <c r="C149" s="12" t="s">
        <v>35</v>
      </c>
      <c r="D149" s="65"/>
      <c r="E149" s="65">
        <v>3025.2</v>
      </c>
      <c r="F149" s="65"/>
      <c r="G149" s="65">
        <v>3180.3</v>
      </c>
      <c r="H149" s="124"/>
      <c r="I149" s="147"/>
    </row>
    <row r="150" spans="1:9" ht="18" hidden="1">
      <c r="A150" s="48" t="s">
        <v>236</v>
      </c>
      <c r="B150" s="74" t="s">
        <v>198</v>
      </c>
      <c r="C150" s="12" t="s">
        <v>35</v>
      </c>
      <c r="D150" s="65"/>
      <c r="E150" s="65">
        <v>1687.5</v>
      </c>
      <c r="F150" s="65"/>
      <c r="G150" s="65">
        <v>1916.21</v>
      </c>
      <c r="H150" s="124"/>
      <c r="I150" s="147"/>
    </row>
    <row r="151" spans="1:9" ht="36" hidden="1">
      <c r="A151" s="48" t="s">
        <v>237</v>
      </c>
      <c r="B151" s="74" t="s">
        <v>209</v>
      </c>
      <c r="C151" s="12" t="s">
        <v>35</v>
      </c>
      <c r="D151" s="65"/>
      <c r="E151" s="65">
        <v>1710.59</v>
      </c>
      <c r="F151" s="65"/>
      <c r="G151" s="65">
        <v>1815.81</v>
      </c>
      <c r="H151" s="124"/>
      <c r="I151" s="147"/>
    </row>
    <row r="152" spans="1:9" ht="18.75">
      <c r="A152" s="48" t="s">
        <v>40</v>
      </c>
      <c r="B152" s="63" t="s">
        <v>215</v>
      </c>
      <c r="C152" s="12" t="s">
        <v>35</v>
      </c>
      <c r="D152" s="65"/>
      <c r="E152" s="65">
        <v>1260.71</v>
      </c>
      <c r="F152" s="65">
        <f>ROUND((D152+E152)/2,2)</f>
        <v>630.36</v>
      </c>
      <c r="G152" s="65"/>
      <c r="H152" s="124">
        <f t="shared" si="5"/>
        <v>-1</v>
      </c>
      <c r="I152" s="148" t="s">
        <v>315</v>
      </c>
    </row>
    <row r="153" spans="1:9" ht="18.75">
      <c r="A153" s="48" t="s">
        <v>41</v>
      </c>
      <c r="B153" s="63" t="s">
        <v>122</v>
      </c>
      <c r="C153" s="12" t="s">
        <v>35</v>
      </c>
      <c r="D153" s="65"/>
      <c r="E153" s="65">
        <v>20.76</v>
      </c>
      <c r="F153" s="65">
        <f>ROUND((D153+E153)/2,2)</f>
        <v>10.38</v>
      </c>
      <c r="G153" s="65"/>
      <c r="H153" s="124">
        <f t="shared" si="5"/>
        <v>-1</v>
      </c>
      <c r="I153" s="149"/>
    </row>
    <row r="154" spans="1:9" s="2" customFormat="1" ht="37.5">
      <c r="A154" s="48" t="s">
        <v>42</v>
      </c>
      <c r="B154" s="63" t="s">
        <v>118</v>
      </c>
      <c r="C154" s="12" t="s">
        <v>35</v>
      </c>
      <c r="D154" s="65">
        <v>341.73</v>
      </c>
      <c r="E154" s="65">
        <v>355.63</v>
      </c>
      <c r="F154" s="65">
        <f>ROUND((D154+E154)/2,2)</f>
        <v>348.68</v>
      </c>
      <c r="G154" s="65">
        <v>333.11</v>
      </c>
      <c r="H154" s="124">
        <f t="shared" si="5"/>
        <v>-0.044654124125272476</v>
      </c>
      <c r="I154" s="147" t="s">
        <v>316</v>
      </c>
    </row>
    <row r="155" spans="1:9" s="2" customFormat="1" ht="18.75">
      <c r="A155" s="48" t="s">
        <v>43</v>
      </c>
      <c r="B155" s="63" t="s">
        <v>119</v>
      </c>
      <c r="C155" s="12" t="s">
        <v>35</v>
      </c>
      <c r="D155" s="65">
        <v>485.01</v>
      </c>
      <c r="E155" s="65">
        <v>314.63</v>
      </c>
      <c r="F155" s="65">
        <f>ROUND((D155+E155)/2,2)</f>
        <v>399.82</v>
      </c>
      <c r="G155" s="65">
        <v>535.46</v>
      </c>
      <c r="H155" s="124">
        <f t="shared" si="5"/>
        <v>0.3392526636986646</v>
      </c>
      <c r="I155" s="147" t="s">
        <v>300</v>
      </c>
    </row>
    <row r="156" spans="1:9" ht="24" customHeight="1">
      <c r="A156" s="48" t="s">
        <v>11</v>
      </c>
      <c r="B156" s="63" t="s">
        <v>123</v>
      </c>
      <c r="C156" s="12" t="s">
        <v>35</v>
      </c>
      <c r="D156" s="65">
        <v>1111.46</v>
      </c>
      <c r="E156" s="65">
        <v>2218.63</v>
      </c>
      <c r="F156" s="65">
        <f>ROUND((D156+E156)/2,2)</f>
        <v>1665.05</v>
      </c>
      <c r="G156" s="65">
        <v>996.2</v>
      </c>
      <c r="H156" s="124">
        <f t="shared" si="5"/>
        <v>-0.4016996486591994</v>
      </c>
      <c r="I156" s="147" t="s">
        <v>298</v>
      </c>
    </row>
    <row r="157" spans="1:9" ht="18.75">
      <c r="A157" s="48" t="s">
        <v>14</v>
      </c>
      <c r="B157" s="63" t="s">
        <v>242</v>
      </c>
      <c r="C157" s="12" t="s">
        <v>35</v>
      </c>
      <c r="D157" s="65">
        <f>SUM(D158:D166)</f>
        <v>3686.77</v>
      </c>
      <c r="E157" s="65">
        <f>SUM(E158:E167)</f>
        <v>13717.81</v>
      </c>
      <c r="F157" s="65">
        <f>SUM(F158:F167)</f>
        <v>8702.31</v>
      </c>
      <c r="G157" s="65">
        <f>SUM(G158:G167)</f>
        <v>22485.23</v>
      </c>
      <c r="H157" s="124">
        <f t="shared" si="5"/>
        <v>1.5838231458084118</v>
      </c>
      <c r="I157" s="147"/>
    </row>
    <row r="158" spans="1:9" ht="18.75">
      <c r="A158" s="88" t="s">
        <v>175</v>
      </c>
      <c r="B158" s="74" t="s">
        <v>164</v>
      </c>
      <c r="C158" s="12" t="s">
        <v>35</v>
      </c>
      <c r="D158" s="65">
        <v>1360.89</v>
      </c>
      <c r="E158" s="65">
        <v>1366.09</v>
      </c>
      <c r="F158" s="65">
        <f aca="true" t="shared" si="6" ref="F158:F172">ROUND((D158+E158)/2,2)</f>
        <v>1363.49</v>
      </c>
      <c r="G158" s="65">
        <v>2044.76</v>
      </c>
      <c r="H158" s="124">
        <f t="shared" si="5"/>
        <v>0.4996516292748754</v>
      </c>
      <c r="I158" s="147" t="s">
        <v>300</v>
      </c>
    </row>
    <row r="159" spans="1:9" ht="18.75">
      <c r="A159" s="88" t="s">
        <v>176</v>
      </c>
      <c r="B159" s="74" t="s">
        <v>134</v>
      </c>
      <c r="C159" s="12" t="s">
        <v>35</v>
      </c>
      <c r="D159" s="65">
        <v>213.69</v>
      </c>
      <c r="E159" s="65">
        <v>134.57</v>
      </c>
      <c r="F159" s="65">
        <f t="shared" si="6"/>
        <v>174.13</v>
      </c>
      <c r="G159" s="65">
        <v>313.78</v>
      </c>
      <c r="H159" s="124">
        <f t="shared" si="5"/>
        <v>0.801987021191064</v>
      </c>
      <c r="I159" s="147" t="s">
        <v>300</v>
      </c>
    </row>
    <row r="160" spans="1:9" ht="18.75">
      <c r="A160" s="88" t="s">
        <v>177</v>
      </c>
      <c r="B160" s="74" t="s">
        <v>165</v>
      </c>
      <c r="C160" s="12" t="s">
        <v>35</v>
      </c>
      <c r="D160" s="65">
        <v>1297.79</v>
      </c>
      <c r="E160" s="65">
        <v>955.03</v>
      </c>
      <c r="F160" s="65">
        <f t="shared" si="6"/>
        <v>1126.41</v>
      </c>
      <c r="G160" s="65">
        <v>1221.52</v>
      </c>
      <c r="H160" s="124">
        <f t="shared" si="5"/>
        <v>0.08443639527347946</v>
      </c>
      <c r="I160" s="147" t="s">
        <v>317</v>
      </c>
    </row>
    <row r="161" spans="1:9" ht="18" hidden="1">
      <c r="A161" s="88" t="s">
        <v>178</v>
      </c>
      <c r="B161" s="74" t="s">
        <v>166</v>
      </c>
      <c r="C161" s="12" t="s">
        <v>35</v>
      </c>
      <c r="D161" s="65"/>
      <c r="E161" s="65"/>
      <c r="F161" s="65">
        <f t="shared" si="6"/>
        <v>0</v>
      </c>
      <c r="G161" s="65"/>
      <c r="H161" s="72"/>
      <c r="I161" s="147"/>
    </row>
    <row r="162" spans="1:9" ht="37.5">
      <c r="A162" s="88" t="s">
        <v>179</v>
      </c>
      <c r="B162" s="74" t="s">
        <v>162</v>
      </c>
      <c r="C162" s="12" t="s">
        <v>35</v>
      </c>
      <c r="D162" s="65">
        <v>8.21</v>
      </c>
      <c r="E162" s="65">
        <v>21.46</v>
      </c>
      <c r="F162" s="65">
        <f t="shared" si="6"/>
        <v>14.84</v>
      </c>
      <c r="G162" s="65">
        <v>265.36</v>
      </c>
      <c r="H162" s="124">
        <f t="shared" si="5"/>
        <v>16.881401617250674</v>
      </c>
      <c r="I162" s="147" t="s">
        <v>318</v>
      </c>
    </row>
    <row r="163" spans="1:9" ht="24" customHeight="1">
      <c r="A163" s="88" t="s">
        <v>180</v>
      </c>
      <c r="B163" s="74" t="s">
        <v>139</v>
      </c>
      <c r="C163" s="12" t="s">
        <v>35</v>
      </c>
      <c r="D163" s="65">
        <v>136.14</v>
      </c>
      <c r="E163" s="65">
        <v>193.25</v>
      </c>
      <c r="F163" s="65">
        <f t="shared" si="6"/>
        <v>164.7</v>
      </c>
      <c r="G163" s="65">
        <v>142.81</v>
      </c>
      <c r="H163" s="124">
        <f t="shared" si="5"/>
        <v>-0.13290831815421977</v>
      </c>
      <c r="I163" s="147" t="s">
        <v>298</v>
      </c>
    </row>
    <row r="164" spans="1:9" ht="21" customHeight="1">
      <c r="A164" s="88"/>
      <c r="B164" s="74" t="s">
        <v>141</v>
      </c>
      <c r="C164" s="12" t="s">
        <v>35</v>
      </c>
      <c r="D164" s="65">
        <v>68.8</v>
      </c>
      <c r="E164" s="65"/>
      <c r="F164" s="65">
        <f t="shared" si="6"/>
        <v>34.4</v>
      </c>
      <c r="G164" s="65"/>
      <c r="H164" s="124">
        <f t="shared" si="5"/>
        <v>-1</v>
      </c>
      <c r="I164" s="147" t="s">
        <v>298</v>
      </c>
    </row>
    <row r="165" spans="1:9" ht="19.5" customHeight="1">
      <c r="A165" s="88"/>
      <c r="B165" s="74" t="s">
        <v>280</v>
      </c>
      <c r="C165" s="12" t="s">
        <v>35</v>
      </c>
      <c r="D165" s="65">
        <v>46.25</v>
      </c>
      <c r="E165" s="65"/>
      <c r="F165" s="65">
        <f t="shared" si="6"/>
        <v>23.13</v>
      </c>
      <c r="G165" s="65"/>
      <c r="H165" s="124">
        <f t="shared" si="5"/>
        <v>-1</v>
      </c>
      <c r="I165" s="147" t="s">
        <v>298</v>
      </c>
    </row>
    <row r="166" spans="1:9" ht="18.75">
      <c r="A166" s="88" t="s">
        <v>190</v>
      </c>
      <c r="B166" s="74" t="s">
        <v>157</v>
      </c>
      <c r="C166" s="12" t="s">
        <v>35</v>
      </c>
      <c r="D166" s="65">
        <v>555</v>
      </c>
      <c r="E166" s="65"/>
      <c r="F166" s="142">
        <f>ROUND((D166+E167)/2,2)</f>
        <v>5801.21</v>
      </c>
      <c r="G166" s="142">
        <v>18497</v>
      </c>
      <c r="H166" s="144">
        <f>G166/F166-1</f>
        <v>2.188472749650504</v>
      </c>
      <c r="I166" s="148" t="s">
        <v>319</v>
      </c>
    </row>
    <row r="167" spans="1:9" ht="37.5">
      <c r="A167" s="88" t="s">
        <v>287</v>
      </c>
      <c r="B167" s="74" t="s">
        <v>286</v>
      </c>
      <c r="C167" s="12" t="s">
        <v>35</v>
      </c>
      <c r="D167" s="65"/>
      <c r="E167" s="65">
        <v>11047.41</v>
      </c>
      <c r="F167" s="143"/>
      <c r="G167" s="143"/>
      <c r="H167" s="145"/>
      <c r="I167" s="149"/>
    </row>
    <row r="168" spans="1:10" ht="18.75">
      <c r="A168" s="75" t="s">
        <v>16</v>
      </c>
      <c r="B168" s="76" t="s">
        <v>22</v>
      </c>
      <c r="C168" s="55" t="s">
        <v>35</v>
      </c>
      <c r="D168" s="58">
        <f>D98+D7</f>
        <v>1862567.35</v>
      </c>
      <c r="E168" s="58">
        <f>E98+E7-0.01</f>
        <v>2104782.7700000005</v>
      </c>
      <c r="F168" s="58">
        <f>F98+F7-0.01</f>
        <v>1983675.2900000003</v>
      </c>
      <c r="G168" s="58">
        <f>G98+G7</f>
        <v>2086203.5799999996</v>
      </c>
      <c r="H168" s="125">
        <f t="shared" si="5"/>
        <v>0.05168602468199279</v>
      </c>
      <c r="I168" s="150"/>
      <c r="J168" s="120"/>
    </row>
    <row r="169" spans="1:9" ht="18.75">
      <c r="A169" s="75" t="s">
        <v>17</v>
      </c>
      <c r="B169" s="76" t="s">
        <v>108</v>
      </c>
      <c r="C169" s="55" t="s">
        <v>35</v>
      </c>
      <c r="D169" s="58"/>
      <c r="E169" s="58">
        <v>135657.61</v>
      </c>
      <c r="F169" s="58">
        <f t="shared" si="6"/>
        <v>67828.81</v>
      </c>
      <c r="G169" s="58">
        <f>G170-G168</f>
        <v>-54440.59999999963</v>
      </c>
      <c r="H169" s="72"/>
      <c r="I169" s="150"/>
    </row>
    <row r="170" spans="1:9" s="6" customFormat="1" ht="18.75">
      <c r="A170" s="75" t="s">
        <v>18</v>
      </c>
      <c r="B170" s="76" t="s">
        <v>89</v>
      </c>
      <c r="C170" s="55" t="s">
        <v>35</v>
      </c>
      <c r="D170" s="58">
        <f>D168+D169</f>
        <v>1862567.35</v>
      </c>
      <c r="E170" s="58">
        <f>E173+E172+E171</f>
        <v>2240440.38</v>
      </c>
      <c r="F170" s="58">
        <f>F168+F169</f>
        <v>2051504.1000000003</v>
      </c>
      <c r="G170" s="58">
        <v>2031762.98</v>
      </c>
      <c r="H170" s="125"/>
      <c r="I170" s="150"/>
    </row>
    <row r="171" spans="1:9" s="6" customFormat="1" ht="56.25">
      <c r="A171" s="75"/>
      <c r="B171" s="87" t="s">
        <v>257</v>
      </c>
      <c r="C171" s="55" t="s">
        <v>35</v>
      </c>
      <c r="D171" s="58"/>
      <c r="E171" s="58">
        <v>183418.99</v>
      </c>
      <c r="F171" s="58">
        <f t="shared" si="6"/>
        <v>91709.5</v>
      </c>
      <c r="G171" s="58"/>
      <c r="H171" s="53"/>
      <c r="I171" s="150"/>
    </row>
    <row r="172" spans="1:9" s="6" customFormat="1" ht="56.25">
      <c r="A172" s="75"/>
      <c r="B172" s="87" t="s">
        <v>240</v>
      </c>
      <c r="C172" s="55" t="s">
        <v>35</v>
      </c>
      <c r="D172" s="58"/>
      <c r="E172" s="58">
        <v>16697.1</v>
      </c>
      <c r="F172" s="58">
        <f t="shared" si="6"/>
        <v>8348.55</v>
      </c>
      <c r="G172" s="58"/>
      <c r="H172" s="53"/>
      <c r="I172" s="150"/>
    </row>
    <row r="173" spans="1:9" s="6" customFormat="1" ht="37.5">
      <c r="A173" s="75"/>
      <c r="B173" s="87" t="s">
        <v>241</v>
      </c>
      <c r="C173" s="55" t="s">
        <v>35</v>
      </c>
      <c r="D173" s="58"/>
      <c r="E173" s="58">
        <f>ROUND(E177*E183,2)</f>
        <v>2040324.29</v>
      </c>
      <c r="F173" s="58">
        <f>F170-F171-F172</f>
        <v>1951446.0500000003</v>
      </c>
      <c r="G173" s="58">
        <f>G170</f>
        <v>2031762.98</v>
      </c>
      <c r="H173" s="125">
        <f>G173/F173-1</f>
        <v>0.04115764819632073</v>
      </c>
      <c r="I173" s="150"/>
    </row>
    <row r="174" spans="1:9" s="6" customFormat="1" ht="206.25">
      <c r="A174" s="75"/>
      <c r="B174" s="78" t="s">
        <v>195</v>
      </c>
      <c r="C174" s="55" t="s">
        <v>35</v>
      </c>
      <c r="D174" s="58"/>
      <c r="E174" s="58">
        <f>E180*E186-0.07</f>
        <v>953346.8245000001</v>
      </c>
      <c r="F174" s="58"/>
      <c r="G174" s="58"/>
      <c r="H174" s="53"/>
      <c r="I174" s="150"/>
    </row>
    <row r="175" spans="1:9" s="6" customFormat="1" ht="18.75">
      <c r="A175" s="75"/>
      <c r="B175" s="78" t="s">
        <v>238</v>
      </c>
      <c r="C175" s="55" t="s">
        <v>35</v>
      </c>
      <c r="D175" s="58"/>
      <c r="E175" s="58">
        <f>E181*E187</f>
        <v>858610.1034</v>
      </c>
      <c r="F175" s="58"/>
      <c r="G175" s="58"/>
      <c r="H175" s="53"/>
      <c r="I175" s="150"/>
    </row>
    <row r="176" spans="1:9" s="6" customFormat="1" ht="37.5">
      <c r="A176" s="75"/>
      <c r="B176" s="78" t="s">
        <v>239</v>
      </c>
      <c r="C176" s="55" t="s">
        <v>35</v>
      </c>
      <c r="D176" s="58"/>
      <c r="E176" s="58">
        <f>E182*E188</f>
        <v>228367.3657</v>
      </c>
      <c r="F176" s="58"/>
      <c r="G176" s="58"/>
      <c r="H176" s="53"/>
      <c r="I176" s="150"/>
    </row>
    <row r="177" spans="1:9" ht="56.25">
      <c r="A177" s="53" t="s">
        <v>15</v>
      </c>
      <c r="B177" s="76" t="s">
        <v>19</v>
      </c>
      <c r="C177" s="55" t="s">
        <v>33</v>
      </c>
      <c r="D177" s="58">
        <f>SUM(D178:D182)</f>
        <v>21031.699999999997</v>
      </c>
      <c r="E177" s="58">
        <f>SUM(E178:E182)</f>
        <v>22554.3</v>
      </c>
      <c r="F177" s="58">
        <f>ROUND((D177+E177)/2,2)</f>
        <v>21793</v>
      </c>
      <c r="G177" s="58">
        <f>G178+G179+G180+G181+G182</f>
        <v>22127.24</v>
      </c>
      <c r="H177" s="125">
        <f>G177/F177-1</f>
        <v>0.015337034827697105</v>
      </c>
      <c r="I177" s="147" t="s">
        <v>326</v>
      </c>
    </row>
    <row r="178" spans="1:9" ht="18.75">
      <c r="A178" s="53"/>
      <c r="B178" s="78" t="s">
        <v>282</v>
      </c>
      <c r="C178" s="12" t="s">
        <v>33</v>
      </c>
      <c r="D178" s="65">
        <v>15807.88</v>
      </c>
      <c r="E178" s="58"/>
      <c r="F178" s="65">
        <f>ROUND((D178+E178)/2,2)</f>
        <v>7903.94</v>
      </c>
      <c r="G178" s="65">
        <f>8192.03</f>
        <v>8192.03</v>
      </c>
      <c r="H178" s="72"/>
      <c r="I178" s="150"/>
    </row>
    <row r="179" spans="1:9" ht="56.25">
      <c r="A179" s="53"/>
      <c r="B179" s="78" t="s">
        <v>283</v>
      </c>
      <c r="C179" s="12" t="s">
        <v>33</v>
      </c>
      <c r="D179" s="65">
        <v>78.3</v>
      </c>
      <c r="E179" s="58"/>
      <c r="F179" s="65">
        <f>ROUND((D179+E179)/2,2)</f>
        <v>39.15</v>
      </c>
      <c r="G179" s="65">
        <f>35.9</f>
        <v>35.9</v>
      </c>
      <c r="H179" s="72"/>
      <c r="I179" s="150"/>
    </row>
    <row r="180" spans="1:9" ht="206.25">
      <c r="A180" s="48"/>
      <c r="B180" s="78" t="s">
        <v>195</v>
      </c>
      <c r="C180" s="12" t="s">
        <v>33</v>
      </c>
      <c r="D180" s="65"/>
      <c r="E180" s="65">
        <f>16585.21+375.24</f>
        <v>16960.45</v>
      </c>
      <c r="F180" s="65">
        <f>ROUND((D180+E180)/2,2)</f>
        <v>8480.23</v>
      </c>
      <c r="G180" s="65">
        <f>8014.63+36.42</f>
        <v>8051.05</v>
      </c>
      <c r="H180" s="72"/>
      <c r="I180" s="150"/>
    </row>
    <row r="181" spans="1:9" ht="18.75">
      <c r="A181" s="48"/>
      <c r="B181" s="78" t="s">
        <v>238</v>
      </c>
      <c r="C181" s="12" t="s">
        <v>33</v>
      </c>
      <c r="D181" s="65">
        <v>5145.52</v>
      </c>
      <c r="E181" s="65">
        <f>4696.18-300-0.04</f>
        <v>4396.14</v>
      </c>
      <c r="F181" s="65">
        <f>ROUND((D181+E181)/2,2)</f>
        <v>4770.83</v>
      </c>
      <c r="G181" s="65">
        <f>627.97+2332.27+2310.94</f>
        <v>5271.18</v>
      </c>
      <c r="H181" s="72"/>
      <c r="I181" s="150"/>
    </row>
    <row r="182" spans="1:9" ht="37.5">
      <c r="A182" s="48"/>
      <c r="B182" s="78" t="s">
        <v>196</v>
      </c>
      <c r="C182" s="12" t="s">
        <v>33</v>
      </c>
      <c r="D182" s="65"/>
      <c r="E182" s="65">
        <f>1272.91-75.2</f>
        <v>1197.71</v>
      </c>
      <c r="F182" s="65">
        <f>ROUND((D182+E182)/2,2)-0.01</f>
        <v>598.85</v>
      </c>
      <c r="G182" s="65">
        <v>577.08</v>
      </c>
      <c r="H182" s="72"/>
      <c r="I182" s="150"/>
    </row>
    <row r="183" spans="1:9" s="6" customFormat="1" ht="18.75">
      <c r="A183" s="75" t="s">
        <v>23</v>
      </c>
      <c r="B183" s="76" t="s">
        <v>167</v>
      </c>
      <c r="C183" s="55" t="s">
        <v>24</v>
      </c>
      <c r="D183" s="58">
        <v>88.56</v>
      </c>
      <c r="E183" s="58">
        <v>90.4627625419326</v>
      </c>
      <c r="F183" s="58">
        <f>ROUND(F168/F177,2)</f>
        <v>91.02</v>
      </c>
      <c r="G183" s="58">
        <f>ROUND(G168/G177,2)</f>
        <v>94.28</v>
      </c>
      <c r="H183" s="53"/>
      <c r="I183" s="150"/>
    </row>
    <row r="184" spans="1:9" s="6" customFormat="1" ht="18.75">
      <c r="A184" s="75"/>
      <c r="B184" s="78" t="s">
        <v>282</v>
      </c>
      <c r="C184" s="55"/>
      <c r="D184" s="65">
        <v>55.03</v>
      </c>
      <c r="E184" s="58"/>
      <c r="F184" s="58"/>
      <c r="G184" s="58"/>
      <c r="H184" s="53"/>
      <c r="I184" s="150"/>
    </row>
    <row r="185" spans="1:9" s="6" customFormat="1" ht="56.25">
      <c r="A185" s="75"/>
      <c r="B185" s="78" t="s">
        <v>283</v>
      </c>
      <c r="C185" s="55"/>
      <c r="D185" s="65">
        <v>112.2</v>
      </c>
      <c r="E185" s="58"/>
      <c r="F185" s="58"/>
      <c r="G185" s="58"/>
      <c r="H185" s="53"/>
      <c r="I185" s="150"/>
    </row>
    <row r="186" spans="1:9" ht="206.25">
      <c r="A186" s="48"/>
      <c r="B186" s="78" t="s">
        <v>195</v>
      </c>
      <c r="C186" s="55" t="s">
        <v>24</v>
      </c>
      <c r="D186" s="79">
        <v>56.21</v>
      </c>
      <c r="E186" s="79">
        <v>56.21</v>
      </c>
      <c r="F186" s="65"/>
      <c r="G186" s="65"/>
      <c r="H186" s="72"/>
      <c r="I186" s="150"/>
    </row>
    <row r="187" spans="1:9" s="6" customFormat="1" ht="18.75">
      <c r="A187" s="80"/>
      <c r="B187" s="78" t="s">
        <v>83</v>
      </c>
      <c r="C187" s="55" t="s">
        <v>24</v>
      </c>
      <c r="D187" s="79">
        <v>191.21</v>
      </c>
      <c r="E187" s="79">
        <v>195.31</v>
      </c>
      <c r="F187" s="58"/>
      <c r="G187" s="58"/>
      <c r="H187" s="53"/>
      <c r="I187" s="150"/>
    </row>
    <row r="188" spans="1:9" s="6" customFormat="1" ht="37.5">
      <c r="A188" s="80"/>
      <c r="B188" s="78" t="s">
        <v>196</v>
      </c>
      <c r="C188" s="55" t="s">
        <v>24</v>
      </c>
      <c r="D188" s="79"/>
      <c r="E188" s="79">
        <v>190.67</v>
      </c>
      <c r="F188" s="58"/>
      <c r="G188" s="58"/>
      <c r="H188" s="53"/>
      <c r="I188" s="150"/>
    </row>
    <row r="189" spans="1:9" s="6" customFormat="1" ht="18.75">
      <c r="A189" s="140"/>
      <c r="B189" s="141"/>
      <c r="C189" s="141"/>
      <c r="D189" s="141"/>
      <c r="E189" s="141"/>
      <c r="F189" s="130"/>
      <c r="G189" s="131"/>
      <c r="H189" s="132"/>
      <c r="I189" s="151"/>
    </row>
    <row r="190" spans="1:9" s="6" customFormat="1" ht="18.75" customHeight="1">
      <c r="A190" s="133"/>
      <c r="B190" s="134" t="s">
        <v>73</v>
      </c>
      <c r="C190" s="135"/>
      <c r="D190" s="136"/>
      <c r="E190" s="137"/>
      <c r="F190" s="138"/>
      <c r="G190" s="139"/>
      <c r="H190" s="123"/>
      <c r="I190" s="110"/>
    </row>
    <row r="191" spans="1:9" s="6" customFormat="1" ht="18.75" customHeight="1">
      <c r="A191" s="49" t="s">
        <v>74</v>
      </c>
      <c r="B191" s="45" t="s">
        <v>75</v>
      </c>
      <c r="C191" s="55" t="s">
        <v>76</v>
      </c>
      <c r="D191" s="53">
        <f>SUM(D193:D198)</f>
        <v>481.40000000000003</v>
      </c>
      <c r="E191" s="83">
        <f>E193+E196+E197+E198</f>
        <v>472.3</v>
      </c>
      <c r="F191" s="115"/>
      <c r="G191" s="58">
        <v>415</v>
      </c>
      <c r="H191" s="152"/>
      <c r="I191" s="110"/>
    </row>
    <row r="192" spans="1:9" s="6" customFormat="1" ht="18.75" customHeight="1">
      <c r="A192" s="45"/>
      <c r="B192" s="20" t="s">
        <v>78</v>
      </c>
      <c r="C192" s="12"/>
      <c r="D192" s="84"/>
      <c r="E192" s="84"/>
      <c r="F192" s="115"/>
      <c r="G192" s="58"/>
      <c r="H192" s="152"/>
      <c r="I192" s="110"/>
    </row>
    <row r="193" spans="1:9" s="6" customFormat="1" ht="27.75" customHeight="1">
      <c r="A193" s="49" t="s">
        <v>77</v>
      </c>
      <c r="B193" s="32" t="s">
        <v>80</v>
      </c>
      <c r="C193" s="12" t="s">
        <v>76</v>
      </c>
      <c r="D193" s="84">
        <v>411.8</v>
      </c>
      <c r="E193" s="84">
        <v>395.6</v>
      </c>
      <c r="F193" s="115"/>
      <c r="G193" s="65">
        <f>G191-G196-G197-G198</f>
        <v>351.5</v>
      </c>
      <c r="H193" s="152"/>
      <c r="I193" s="110"/>
    </row>
    <row r="194" spans="1:9" s="6" customFormat="1" ht="21" customHeight="1" hidden="1">
      <c r="A194" s="49" t="s">
        <v>81</v>
      </c>
      <c r="B194" s="85"/>
      <c r="C194" s="12" t="s">
        <v>76</v>
      </c>
      <c r="D194" s="86"/>
      <c r="E194" s="84"/>
      <c r="F194" s="115"/>
      <c r="G194" s="65"/>
      <c r="H194" s="152"/>
      <c r="I194" s="110"/>
    </row>
    <row r="195" spans="1:9" s="6" customFormat="1" ht="21" customHeight="1" hidden="1">
      <c r="A195" s="49" t="s">
        <v>79</v>
      </c>
      <c r="B195" s="82" t="s">
        <v>60</v>
      </c>
      <c r="C195" s="12" t="s">
        <v>76</v>
      </c>
      <c r="D195" s="84"/>
      <c r="E195" s="84"/>
      <c r="F195" s="115"/>
      <c r="G195" s="65"/>
      <c r="H195" s="152"/>
      <c r="I195" s="110"/>
    </row>
    <row r="196" spans="1:9" s="6" customFormat="1" ht="30.75" customHeight="1">
      <c r="A196" s="49" t="s">
        <v>81</v>
      </c>
      <c r="B196" s="32" t="s">
        <v>62</v>
      </c>
      <c r="C196" s="12" t="s">
        <v>76</v>
      </c>
      <c r="D196" s="84">
        <v>22.5</v>
      </c>
      <c r="E196" s="84">
        <v>21.5</v>
      </c>
      <c r="F196" s="115"/>
      <c r="G196" s="65">
        <v>22</v>
      </c>
      <c r="H196" s="152"/>
      <c r="I196" s="110"/>
    </row>
    <row r="197" spans="1:9" s="5" customFormat="1" ht="24" customHeight="1">
      <c r="A197" s="49" t="s">
        <v>61</v>
      </c>
      <c r="B197" s="32" t="s">
        <v>64</v>
      </c>
      <c r="C197" s="12" t="s">
        <v>76</v>
      </c>
      <c r="D197" s="84">
        <v>1</v>
      </c>
      <c r="E197" s="84">
        <v>1</v>
      </c>
      <c r="F197" s="58"/>
      <c r="G197" s="65">
        <v>1</v>
      </c>
      <c r="H197" s="152"/>
      <c r="I197" s="110"/>
    </row>
    <row r="198" spans="1:9" s="6" customFormat="1" ht="21.75" customHeight="1">
      <c r="A198" s="49" t="s">
        <v>63</v>
      </c>
      <c r="B198" s="32" t="s">
        <v>66</v>
      </c>
      <c r="C198" s="12" t="s">
        <v>76</v>
      </c>
      <c r="D198" s="84">
        <v>46.1</v>
      </c>
      <c r="E198" s="84">
        <v>54.2</v>
      </c>
      <c r="F198" s="115"/>
      <c r="G198" s="65">
        <v>40.5</v>
      </c>
      <c r="H198" s="152"/>
      <c r="I198" s="110"/>
    </row>
    <row r="199" spans="1:9" s="5" customFormat="1" ht="21.75" customHeight="1">
      <c r="A199" s="49" t="s">
        <v>65</v>
      </c>
      <c r="B199" s="45" t="s">
        <v>68</v>
      </c>
      <c r="C199" s="55" t="s">
        <v>69</v>
      </c>
      <c r="D199" s="50">
        <v>128470</v>
      </c>
      <c r="E199" s="50">
        <f>(E51+E101+E130+E147)/E191/12*1000</f>
        <v>138973.5425929847</v>
      </c>
      <c r="F199" s="58"/>
      <c r="G199" s="58">
        <f>ROUND((G51+G101+G130+G147)/G191/12*1000,0)</f>
        <v>159694</v>
      </c>
      <c r="H199" s="152"/>
      <c r="I199" s="110"/>
    </row>
    <row r="200" spans="1:9" ht="18.75" customHeight="1">
      <c r="A200" s="32"/>
      <c r="B200" s="20" t="s">
        <v>78</v>
      </c>
      <c r="C200" s="12"/>
      <c r="D200" s="51"/>
      <c r="E200" s="51"/>
      <c r="F200" s="114"/>
      <c r="G200" s="65"/>
      <c r="H200" s="153"/>
      <c r="I200" s="154"/>
    </row>
    <row r="201" spans="1:9" ht="18.75" customHeight="1">
      <c r="A201" s="49" t="s">
        <v>67</v>
      </c>
      <c r="B201" s="32" t="s">
        <v>80</v>
      </c>
      <c r="C201" s="12" t="s">
        <v>69</v>
      </c>
      <c r="D201" s="52">
        <v>128576</v>
      </c>
      <c r="E201" s="52">
        <f>E51/E193/12*1000</f>
        <v>143617.95374115265</v>
      </c>
      <c r="F201" s="114"/>
      <c r="G201" s="65">
        <f>ROUND(G51/G193/12*1000,0)</f>
        <v>159455</v>
      </c>
      <c r="H201" s="153"/>
      <c r="I201" s="154"/>
    </row>
    <row r="202" spans="1:9" ht="18.75" customHeight="1">
      <c r="A202" s="49" t="s">
        <v>70</v>
      </c>
      <c r="B202" s="32" t="s">
        <v>62</v>
      </c>
      <c r="C202" s="12" t="s">
        <v>69</v>
      </c>
      <c r="D202" s="52">
        <v>172705</v>
      </c>
      <c r="E202" s="52">
        <f>E101/E196/12*1000</f>
        <v>181698.48837209304</v>
      </c>
      <c r="F202" s="114"/>
      <c r="G202" s="65">
        <f>ROUND(G101/G196/12*1000,0)</f>
        <v>220024</v>
      </c>
      <c r="H202" s="153"/>
      <c r="I202" s="154"/>
    </row>
    <row r="203" spans="1:9" ht="18.75" customHeight="1">
      <c r="A203" s="49" t="s">
        <v>71</v>
      </c>
      <c r="B203" s="32" t="s">
        <v>64</v>
      </c>
      <c r="C203" s="12" t="s">
        <v>69</v>
      </c>
      <c r="D203" s="52">
        <v>154150</v>
      </c>
      <c r="E203" s="52">
        <f>E130/E197/12*1000</f>
        <v>163784.16666666666</v>
      </c>
      <c r="F203" s="114"/>
      <c r="G203" s="65">
        <f>ROUND(G130/G197/12*1000,0)</f>
        <v>218499</v>
      </c>
      <c r="H203" s="153"/>
      <c r="I203" s="154"/>
    </row>
    <row r="204" spans="1:9" ht="18.75" customHeight="1">
      <c r="A204" s="49" t="s">
        <v>72</v>
      </c>
      <c r="B204" s="32" t="s">
        <v>66</v>
      </c>
      <c r="C204" s="12" t="s">
        <v>69</v>
      </c>
      <c r="D204" s="52">
        <v>105373</v>
      </c>
      <c r="E204" s="52">
        <f>E147/E198/12*1000</f>
        <v>87668.63468634686</v>
      </c>
      <c r="F204" s="114"/>
      <c r="G204" s="65">
        <f>ROUND(G147/G198/12*1000,0)</f>
        <v>127544</v>
      </c>
      <c r="H204" s="153"/>
      <c r="I204" s="154"/>
    </row>
    <row r="205" spans="1:3" ht="18.75" customHeight="1">
      <c r="A205" s="14"/>
      <c r="B205" s="15"/>
      <c r="C205" s="9"/>
    </row>
    <row r="206" spans="1:3" ht="18.75" customHeight="1">
      <c r="A206" s="14"/>
      <c r="B206" s="15"/>
      <c r="C206" s="9"/>
    </row>
    <row r="207" spans="1:3" ht="18.75" customHeight="1">
      <c r="A207" s="14"/>
      <c r="B207" s="15"/>
      <c r="C207" s="9"/>
    </row>
    <row r="208" spans="1:5" ht="18.75" customHeight="1">
      <c r="A208" s="17"/>
      <c r="B208" s="110" t="s">
        <v>277</v>
      </c>
      <c r="D208" s="29" t="s">
        <v>276</v>
      </c>
      <c r="E208" s="19" t="s">
        <v>327</v>
      </c>
    </row>
    <row r="209" spans="1:9" s="44" customFormat="1" ht="18.75" customHeight="1" hidden="1">
      <c r="A209" s="23"/>
      <c r="B209" s="42" t="s">
        <v>129</v>
      </c>
      <c r="C209" s="24"/>
      <c r="D209" s="43"/>
      <c r="E209" s="43"/>
      <c r="G209" s="117"/>
      <c r="H209" s="122"/>
      <c r="I209" s="122"/>
    </row>
    <row r="210" spans="1:9" s="6" customFormat="1" ht="18.75" customHeight="1">
      <c r="A210" s="30"/>
      <c r="B210" s="31"/>
      <c r="C210" s="11"/>
      <c r="D210" s="19"/>
      <c r="E210" s="19"/>
      <c r="G210" s="118"/>
      <c r="H210" s="123"/>
      <c r="I210" s="123"/>
    </row>
    <row r="211" spans="1:3" ht="12" customHeight="1">
      <c r="A211" s="17"/>
      <c r="B211" s="15"/>
      <c r="C211" s="9"/>
    </row>
    <row r="212" spans="1:5" ht="18.75" customHeight="1">
      <c r="A212" s="17"/>
      <c r="B212" s="15"/>
      <c r="C212" s="9"/>
      <c r="E212" s="109"/>
    </row>
    <row r="213" spans="1:5" ht="18.75" customHeight="1">
      <c r="A213" s="21"/>
      <c r="B213" s="15" t="s">
        <v>325</v>
      </c>
      <c r="D213" s="109"/>
      <c r="E213" s="109"/>
    </row>
    <row r="214" spans="1:5" ht="18.75" customHeight="1">
      <c r="A214" s="18"/>
      <c r="B214" s="15"/>
      <c r="E214" s="109"/>
    </row>
    <row r="215" spans="1:2" ht="18.75" customHeight="1">
      <c r="A215" s="18"/>
      <c r="B215" s="15"/>
    </row>
    <row r="216" spans="1:5" ht="18.75" customHeight="1">
      <c r="A216" s="18"/>
      <c r="E216" s="47"/>
    </row>
    <row r="217" spans="1:4" ht="18.75" customHeight="1">
      <c r="A217" s="18"/>
      <c r="B217" s="19"/>
      <c r="C217" s="11"/>
      <c r="D217" s="95"/>
    </row>
    <row r="218" ht="18.75" customHeight="1">
      <c r="A218" s="18"/>
    </row>
    <row r="219" spans="1:9" s="10" customFormat="1" ht="18.75" customHeight="1">
      <c r="A219" s="18"/>
      <c r="B219" s="29"/>
      <c r="D219" s="29"/>
      <c r="E219" s="29"/>
      <c r="F219" s="1"/>
      <c r="G219" s="116"/>
      <c r="H219" s="122"/>
      <c r="I219" s="122"/>
    </row>
    <row r="233" spans="1:9" s="10" customFormat="1" ht="18.75" customHeight="1">
      <c r="A233" s="29"/>
      <c r="B233" s="13"/>
      <c r="D233" s="29"/>
      <c r="E233" s="29"/>
      <c r="F233" s="1"/>
      <c r="G233" s="116"/>
      <c r="H233" s="122"/>
      <c r="I233" s="122"/>
    </row>
    <row r="234" spans="1:9" s="10" customFormat="1" ht="18.75" customHeight="1">
      <c r="A234" s="29"/>
      <c r="B234" s="19"/>
      <c r="D234" s="29"/>
      <c r="E234" s="29"/>
      <c r="F234" s="1"/>
      <c r="G234" s="116"/>
      <c r="H234" s="122"/>
      <c r="I234" s="122"/>
    </row>
    <row r="235" spans="2:9" s="29" customFormat="1" ht="18.75" customHeight="1">
      <c r="B235" s="19"/>
      <c r="C235" s="10"/>
      <c r="F235" s="1"/>
      <c r="G235" s="116"/>
      <c r="H235" s="122"/>
      <c r="I235" s="122"/>
    </row>
    <row r="237" spans="3:9" s="29" customFormat="1" ht="18.75" customHeight="1">
      <c r="C237" s="33"/>
      <c r="F237" s="1"/>
      <c r="G237" s="116"/>
      <c r="H237" s="122"/>
      <c r="I237" s="122"/>
    </row>
    <row r="238" spans="3:9" s="29" customFormat="1" ht="18.75" customHeight="1">
      <c r="C238" s="33"/>
      <c r="F238" s="1"/>
      <c r="G238" s="116"/>
      <c r="H238" s="122"/>
      <c r="I238" s="122"/>
    </row>
    <row r="239" spans="2:9" s="29" customFormat="1" ht="18.75" customHeight="1">
      <c r="B239" s="19"/>
      <c r="C239" s="33"/>
      <c r="F239" s="1"/>
      <c r="G239" s="116"/>
      <c r="H239" s="122"/>
      <c r="I239" s="122"/>
    </row>
    <row r="241" spans="3:9" s="29" customFormat="1" ht="18.75" customHeight="1">
      <c r="C241" s="34"/>
      <c r="F241" s="1"/>
      <c r="G241" s="116"/>
      <c r="H241" s="122"/>
      <c r="I241" s="122"/>
    </row>
    <row r="242" spans="2:9" s="29" customFormat="1" ht="18.75" customHeight="1">
      <c r="B242" s="16"/>
      <c r="C242" s="10"/>
      <c r="F242" s="1"/>
      <c r="G242" s="116"/>
      <c r="H242" s="122"/>
      <c r="I242" s="122"/>
    </row>
    <row r="244" spans="3:9" s="29" customFormat="1" ht="18.75" customHeight="1">
      <c r="C244" s="34"/>
      <c r="F244" s="1"/>
      <c r="G244" s="116"/>
      <c r="H244" s="122"/>
      <c r="I244" s="122"/>
    </row>
    <row r="245" spans="3:9" s="29" customFormat="1" ht="18.75" customHeight="1">
      <c r="C245" s="33"/>
      <c r="F245" s="1"/>
      <c r="G245" s="116"/>
      <c r="H245" s="122"/>
      <c r="I245" s="122"/>
    </row>
    <row r="246" spans="3:9" s="29" customFormat="1" ht="18.75" customHeight="1">
      <c r="C246" s="33"/>
      <c r="F246" s="1"/>
      <c r="G246" s="116"/>
      <c r="H246" s="122"/>
      <c r="I246" s="122"/>
    </row>
    <row r="247" spans="2:9" s="29" customFormat="1" ht="18.75" customHeight="1">
      <c r="B247" s="19"/>
      <c r="C247" s="33"/>
      <c r="F247" s="1"/>
      <c r="G247" s="116"/>
      <c r="H247" s="122"/>
      <c r="I247" s="122"/>
    </row>
    <row r="249" spans="2:9" s="29" customFormat="1" ht="18.75" customHeight="1">
      <c r="B249" s="35"/>
      <c r="C249" s="10"/>
      <c r="F249" s="1"/>
      <c r="G249" s="116"/>
      <c r="H249" s="122"/>
      <c r="I249" s="122"/>
    </row>
    <row r="252" spans="2:9" s="29" customFormat="1" ht="18.75" customHeight="1">
      <c r="B252" s="13"/>
      <c r="C252" s="10"/>
      <c r="F252" s="1"/>
      <c r="G252" s="116"/>
      <c r="H252" s="122"/>
      <c r="I252" s="122"/>
    </row>
    <row r="253" spans="2:9" s="29" customFormat="1" ht="18.75" customHeight="1">
      <c r="B253" s="19"/>
      <c r="C253" s="10"/>
      <c r="F253" s="1"/>
      <c r="G253" s="116"/>
      <c r="H253" s="122"/>
      <c r="I253" s="122"/>
    </row>
    <row r="254" spans="2:9" s="29" customFormat="1" ht="18.75" customHeight="1">
      <c r="B254" s="19"/>
      <c r="C254" s="10"/>
      <c r="F254" s="1"/>
      <c r="G254" s="116"/>
      <c r="H254" s="122"/>
      <c r="I254" s="122"/>
    </row>
    <row r="256" spans="3:9" s="29" customFormat="1" ht="18.75" customHeight="1">
      <c r="C256" s="33"/>
      <c r="F256" s="1"/>
      <c r="G256" s="116"/>
      <c r="H256" s="122"/>
      <c r="I256" s="122"/>
    </row>
    <row r="257" spans="3:9" s="29" customFormat="1" ht="18.75" customHeight="1">
      <c r="C257" s="33"/>
      <c r="F257" s="1"/>
      <c r="G257" s="116"/>
      <c r="H257" s="122"/>
      <c r="I257" s="122"/>
    </row>
    <row r="258" spans="2:9" s="29" customFormat="1" ht="18.75" customHeight="1">
      <c r="B258" s="19"/>
      <c r="C258" s="33"/>
      <c r="F258" s="1"/>
      <c r="G258" s="116"/>
      <c r="H258" s="122"/>
      <c r="I258" s="122"/>
    </row>
    <row r="259" spans="3:9" s="29" customFormat="1" ht="18.75" customHeight="1">
      <c r="C259" s="33"/>
      <c r="F259" s="1"/>
      <c r="G259" s="116"/>
      <c r="H259" s="122"/>
      <c r="I259" s="122"/>
    </row>
    <row r="260" spans="3:9" s="29" customFormat="1" ht="18.75" customHeight="1">
      <c r="C260" s="33"/>
      <c r="F260" s="1"/>
      <c r="G260" s="116"/>
      <c r="H260" s="122"/>
      <c r="I260" s="122"/>
    </row>
    <row r="261" spans="2:9" s="29" customFormat="1" ht="18.75" customHeight="1">
      <c r="B261" s="16"/>
      <c r="C261" s="10"/>
      <c r="F261" s="1"/>
      <c r="G261" s="116"/>
      <c r="H261" s="122"/>
      <c r="I261" s="122"/>
    </row>
    <row r="262" spans="2:9" s="29" customFormat="1" ht="18.75" customHeight="1">
      <c r="B262" s="36"/>
      <c r="C262" s="37"/>
      <c r="F262" s="1"/>
      <c r="G262" s="116"/>
      <c r="H262" s="122"/>
      <c r="I262" s="122"/>
    </row>
    <row r="263" spans="2:9" s="29" customFormat="1" ht="18.75" customHeight="1">
      <c r="B263" s="13"/>
      <c r="C263" s="37"/>
      <c r="F263" s="1"/>
      <c r="G263" s="116"/>
      <c r="H263" s="122"/>
      <c r="I263" s="122"/>
    </row>
    <row r="264" spans="2:9" s="29" customFormat="1" ht="18.75" customHeight="1">
      <c r="B264" s="36"/>
      <c r="C264" s="37"/>
      <c r="F264" s="1"/>
      <c r="G264" s="116"/>
      <c r="H264" s="122"/>
      <c r="I264" s="122"/>
    </row>
    <row r="265" spans="2:9" s="29" customFormat="1" ht="18.75" customHeight="1">
      <c r="B265" s="22"/>
      <c r="C265" s="37"/>
      <c r="F265" s="1"/>
      <c r="G265" s="116"/>
      <c r="H265" s="122"/>
      <c r="I265" s="122"/>
    </row>
    <row r="266" spans="2:9" s="29" customFormat="1" ht="18.75" customHeight="1">
      <c r="B266" s="22"/>
      <c r="C266" s="37"/>
      <c r="F266" s="1"/>
      <c r="G266" s="116"/>
      <c r="H266" s="122"/>
      <c r="I266" s="122"/>
    </row>
    <row r="267" spans="2:9" s="29" customFormat="1" ht="18.75" customHeight="1">
      <c r="B267" s="13"/>
      <c r="C267" s="37"/>
      <c r="F267" s="1"/>
      <c r="G267" s="116"/>
      <c r="H267" s="122"/>
      <c r="I267" s="122"/>
    </row>
    <row r="268" spans="2:9" s="29" customFormat="1" ht="18.75" customHeight="1">
      <c r="B268" s="13"/>
      <c r="C268" s="37"/>
      <c r="F268" s="1"/>
      <c r="G268" s="116"/>
      <c r="H268" s="122"/>
      <c r="I268" s="122"/>
    </row>
    <row r="269" spans="2:9" s="29" customFormat="1" ht="18.75" customHeight="1">
      <c r="B269" s="13"/>
      <c r="C269" s="38"/>
      <c r="F269" s="1"/>
      <c r="G269" s="116"/>
      <c r="H269" s="122"/>
      <c r="I269" s="122"/>
    </row>
    <row r="270" spans="3:9" s="29" customFormat="1" ht="18.75" customHeight="1">
      <c r="C270" s="33"/>
      <c r="F270" s="1"/>
      <c r="G270" s="116"/>
      <c r="H270" s="122"/>
      <c r="I270" s="122"/>
    </row>
    <row r="271" spans="2:9" s="29" customFormat="1" ht="18.75" customHeight="1">
      <c r="B271" s="19"/>
      <c r="C271" s="33"/>
      <c r="F271" s="1"/>
      <c r="G271" s="116"/>
      <c r="H271" s="122"/>
      <c r="I271" s="122"/>
    </row>
    <row r="288" spans="2:9" s="29" customFormat="1" ht="18.75" customHeight="1">
      <c r="B288" s="19"/>
      <c r="C288" s="10"/>
      <c r="F288" s="1"/>
      <c r="G288" s="116"/>
      <c r="H288" s="122"/>
      <c r="I288" s="122"/>
    </row>
    <row r="290" spans="1:9" s="29" customFormat="1" ht="18.75" customHeight="1">
      <c r="A290" s="19"/>
      <c r="B290" s="19"/>
      <c r="C290" s="11"/>
      <c r="F290" s="1"/>
      <c r="G290" s="116"/>
      <c r="H290" s="122"/>
      <c r="I290" s="122"/>
    </row>
    <row r="292" spans="1:9" s="29" customFormat="1" ht="18.75" customHeight="1">
      <c r="A292" s="19"/>
      <c r="C292" s="11"/>
      <c r="F292" s="1"/>
      <c r="G292" s="116"/>
      <c r="H292" s="122"/>
      <c r="I292" s="122"/>
    </row>
    <row r="296" spans="2:9" s="29" customFormat="1" ht="18.75" customHeight="1">
      <c r="B296" s="19"/>
      <c r="C296" s="10"/>
      <c r="F296" s="1"/>
      <c r="G296" s="116"/>
      <c r="H296" s="122"/>
      <c r="I296" s="122"/>
    </row>
    <row r="298" spans="1:9" s="29" customFormat="1" ht="18.75" customHeight="1">
      <c r="A298" s="19"/>
      <c r="C298" s="11"/>
      <c r="F298" s="1"/>
      <c r="G298" s="116"/>
      <c r="H298" s="122"/>
      <c r="I298" s="122"/>
    </row>
    <row r="299" spans="2:9" s="29" customFormat="1" ht="18.75" customHeight="1">
      <c r="B299" s="19"/>
      <c r="C299" s="10"/>
      <c r="F299" s="1"/>
      <c r="G299" s="116"/>
      <c r="H299" s="122"/>
      <c r="I299" s="122"/>
    </row>
    <row r="301" spans="1:9" s="29" customFormat="1" ht="18.75" customHeight="1">
      <c r="A301" s="19"/>
      <c r="B301" s="19"/>
      <c r="C301" s="11"/>
      <c r="F301" s="1"/>
      <c r="G301" s="116"/>
      <c r="H301" s="122"/>
      <c r="I301" s="122"/>
    </row>
    <row r="302" spans="1:9" s="29" customFormat="1" ht="18.75" customHeight="1">
      <c r="A302" s="19"/>
      <c r="B302" s="19"/>
      <c r="C302" s="10"/>
      <c r="F302" s="1"/>
      <c r="G302" s="116"/>
      <c r="H302" s="122"/>
      <c r="I302" s="122"/>
    </row>
    <row r="303" spans="1:9" s="29" customFormat="1" ht="18.75" customHeight="1">
      <c r="A303" s="19"/>
      <c r="C303" s="11"/>
      <c r="F303" s="1"/>
      <c r="G303" s="116"/>
      <c r="H303" s="122"/>
      <c r="I303" s="122"/>
    </row>
    <row r="304" spans="1:9" s="29" customFormat="1" ht="18.75" customHeight="1">
      <c r="A304" s="19"/>
      <c r="C304" s="11"/>
      <c r="F304" s="1"/>
      <c r="G304" s="116"/>
      <c r="H304" s="122"/>
      <c r="I304" s="122"/>
    </row>
    <row r="305" spans="2:9" s="29" customFormat="1" ht="18.75" customHeight="1">
      <c r="B305" s="19"/>
      <c r="C305" s="10"/>
      <c r="F305" s="1"/>
      <c r="G305" s="116"/>
      <c r="H305" s="122"/>
      <c r="I305" s="122"/>
    </row>
    <row r="307" spans="1:9" s="29" customFormat="1" ht="18.75" customHeight="1">
      <c r="A307" s="19"/>
      <c r="C307" s="11"/>
      <c r="F307" s="1"/>
      <c r="G307" s="116"/>
      <c r="H307" s="122"/>
      <c r="I307" s="122"/>
    </row>
    <row r="322" ht="18.75" customHeight="1">
      <c r="B322" s="19"/>
    </row>
    <row r="323" ht="18.75" customHeight="1">
      <c r="B323" s="19"/>
    </row>
    <row r="324" spans="1:9" s="7" customFormat="1" ht="18.75" customHeight="1">
      <c r="A324" s="19"/>
      <c r="B324" s="29"/>
      <c r="C324" s="11"/>
      <c r="D324" s="19"/>
      <c r="E324" s="19"/>
      <c r="G324" s="119"/>
      <c r="H324" s="123"/>
      <c r="I324" s="123"/>
    </row>
    <row r="325" spans="1:9" s="7" customFormat="1" ht="18.75" customHeight="1">
      <c r="A325" s="19"/>
      <c r="B325" s="29"/>
      <c r="C325" s="11"/>
      <c r="D325" s="19"/>
      <c r="E325" s="19"/>
      <c r="G325" s="119"/>
      <c r="H325" s="123"/>
      <c r="I325" s="123"/>
    </row>
    <row r="349" spans="2:9" s="29" customFormat="1" ht="18.75" customHeight="1">
      <c r="B349" s="19"/>
      <c r="C349" s="10"/>
      <c r="F349" s="1"/>
      <c r="G349" s="116"/>
      <c r="H349" s="122"/>
      <c r="I349" s="122"/>
    </row>
    <row r="351" spans="1:9" s="29" customFormat="1" ht="18.75" customHeight="1">
      <c r="A351" s="19"/>
      <c r="C351" s="11"/>
      <c r="F351" s="1"/>
      <c r="G351" s="116"/>
      <c r="H351" s="122"/>
      <c r="I351" s="122"/>
    </row>
    <row r="352" spans="3:9" s="29" customFormat="1" ht="18.75" customHeight="1">
      <c r="C352" s="10"/>
      <c r="F352" s="1"/>
      <c r="G352" s="116"/>
      <c r="H352" s="122"/>
      <c r="I352" s="122"/>
    </row>
    <row r="357" spans="3:9" s="29" customFormat="1" ht="18.75" customHeight="1">
      <c r="C357" s="10"/>
      <c r="F357" s="1"/>
      <c r="G357" s="116"/>
      <c r="H357" s="122"/>
      <c r="I357" s="122"/>
    </row>
    <row r="363" spans="2:9" s="29" customFormat="1" ht="18.75" customHeight="1">
      <c r="B363" s="19"/>
      <c r="C363" s="10"/>
      <c r="F363" s="1"/>
      <c r="G363" s="116"/>
      <c r="H363" s="122"/>
      <c r="I363" s="122"/>
    </row>
    <row r="364" spans="2:9" s="29" customFormat="1" ht="18.75" customHeight="1">
      <c r="B364" s="19"/>
      <c r="C364" s="10"/>
      <c r="F364" s="1"/>
      <c r="G364" s="116"/>
      <c r="H364" s="122"/>
      <c r="I364" s="122"/>
    </row>
    <row r="365" spans="1:9" s="29" customFormat="1" ht="18.75" customHeight="1">
      <c r="A365" s="19"/>
      <c r="C365" s="11"/>
      <c r="F365" s="1"/>
      <c r="G365" s="116"/>
      <c r="H365" s="122"/>
      <c r="I365" s="122"/>
    </row>
    <row r="366" spans="1:9" s="29" customFormat="1" ht="18.75" customHeight="1">
      <c r="A366" s="19"/>
      <c r="C366" s="11"/>
      <c r="F366" s="1"/>
      <c r="G366" s="116"/>
      <c r="H366" s="122"/>
      <c r="I366" s="122"/>
    </row>
    <row r="374" spans="2:9" s="29" customFormat="1" ht="18.75" customHeight="1">
      <c r="B374" s="19"/>
      <c r="C374" s="10"/>
      <c r="F374" s="1"/>
      <c r="G374" s="116"/>
      <c r="H374" s="122"/>
      <c r="I374" s="122"/>
    </row>
    <row r="376" spans="1:9" s="29" customFormat="1" ht="18.75" customHeight="1">
      <c r="A376" s="19"/>
      <c r="C376" s="11"/>
      <c r="F376" s="1"/>
      <c r="G376" s="116"/>
      <c r="H376" s="122"/>
      <c r="I376" s="122"/>
    </row>
    <row r="377" spans="2:9" s="29" customFormat="1" ht="18.75" customHeight="1">
      <c r="B377" s="39"/>
      <c r="C377" s="10"/>
      <c r="F377" s="1"/>
      <c r="G377" s="116"/>
      <c r="H377" s="122"/>
      <c r="I377" s="122"/>
    </row>
    <row r="378" spans="2:9" s="29" customFormat="1" ht="18.75" customHeight="1">
      <c r="B378" s="39"/>
      <c r="C378" s="10"/>
      <c r="F378" s="1"/>
      <c r="G378" s="116"/>
      <c r="H378" s="122"/>
      <c r="I378" s="122"/>
    </row>
    <row r="379" spans="3:9" s="29" customFormat="1" ht="18.75" customHeight="1">
      <c r="C379" s="40"/>
      <c r="F379" s="1"/>
      <c r="G379" s="116"/>
      <c r="H379" s="122"/>
      <c r="I379" s="122"/>
    </row>
    <row r="380" spans="2:9" s="29" customFormat="1" ht="18.75" customHeight="1">
      <c r="B380" s="19"/>
      <c r="C380" s="40"/>
      <c r="F380" s="1"/>
      <c r="G380" s="116"/>
      <c r="H380" s="122"/>
      <c r="I380" s="122"/>
    </row>
    <row r="382" spans="3:9" s="29" customFormat="1" ht="18.75" customHeight="1">
      <c r="C382" s="11"/>
      <c r="F382" s="1"/>
      <c r="G382" s="116"/>
      <c r="H382" s="122"/>
      <c r="I382" s="122"/>
    </row>
  </sheetData>
  <sheetProtection/>
  <mergeCells count="7">
    <mergeCell ref="A189:E189"/>
    <mergeCell ref="G166:G167"/>
    <mergeCell ref="F166:F167"/>
    <mergeCell ref="H166:H167"/>
    <mergeCell ref="I144:I145"/>
    <mergeCell ref="I152:I153"/>
    <mergeCell ref="I166:I167"/>
  </mergeCells>
  <printOptions/>
  <pageMargins left="0.3937007874015748" right="0.3937007874015748" top="0.5905511811023623" bottom="0.3937007874015748" header="0" footer="0"/>
  <pageSetup fitToHeight="3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PEO3</dc:creator>
  <cp:keywords/>
  <dc:description/>
  <cp:lastModifiedBy>Любовь Раченкова</cp:lastModifiedBy>
  <cp:lastPrinted>2023-04-23T11:17:09Z</cp:lastPrinted>
  <dcterms:created xsi:type="dcterms:W3CDTF">2010-05-20T09:12:56Z</dcterms:created>
  <dcterms:modified xsi:type="dcterms:W3CDTF">2023-04-23T11:18:33Z</dcterms:modified>
  <cp:category/>
  <cp:version/>
  <cp:contentType/>
  <cp:contentStatus/>
</cp:coreProperties>
</file>